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405" windowWidth="24675" windowHeight="11790"/>
  </bookViews>
  <sheets>
    <sheet name="Depth" sheetId="1" r:id="rId1"/>
    <sheet name="EC" sheetId="2" r:id="rId2"/>
  </sheets>
  <calcPr calcId="125725"/>
</workbook>
</file>

<file path=xl/calcChain.xml><?xml version="1.0" encoding="utf-8"?>
<calcChain xmlns="http://schemas.openxmlformats.org/spreadsheetml/2006/main">
  <c r="P22" i="2"/>
  <c r="O22"/>
  <c r="N22"/>
  <c r="M22"/>
  <c r="P21"/>
  <c r="O21"/>
  <c r="N21"/>
  <c r="M21"/>
  <c r="K22"/>
  <c r="J22"/>
  <c r="I22"/>
  <c r="H22"/>
  <c r="K21"/>
  <c r="J21"/>
  <c r="I21"/>
  <c r="H21"/>
  <c r="F22"/>
  <c r="E22"/>
  <c r="D22"/>
  <c r="C22"/>
  <c r="F21"/>
  <c r="E21"/>
  <c r="D21"/>
  <c r="C21"/>
  <c r="F28"/>
  <c r="E28"/>
  <c r="D28"/>
  <c r="C28"/>
  <c r="F20"/>
  <c r="E20"/>
  <c r="D20"/>
  <c r="C20"/>
  <c r="F19"/>
  <c r="E19"/>
  <c r="D19"/>
  <c r="C19"/>
  <c r="F18"/>
  <c r="E18"/>
  <c r="D18"/>
  <c r="C18"/>
  <c r="F17"/>
  <c r="E17"/>
  <c r="D17"/>
  <c r="C17"/>
  <c r="F16"/>
  <c r="E16"/>
  <c r="D16"/>
  <c r="C16"/>
  <c r="F15"/>
  <c r="E15"/>
  <c r="D15"/>
  <c r="C15"/>
  <c r="E14"/>
  <c r="D14"/>
  <c r="C14"/>
  <c r="F11"/>
  <c r="E11"/>
  <c r="D11"/>
  <c r="C11"/>
  <c r="F10"/>
  <c r="E10"/>
  <c r="D10"/>
  <c r="C10"/>
  <c r="F9"/>
  <c r="E9"/>
  <c r="D9"/>
  <c r="C9"/>
  <c r="K20"/>
  <c r="J20"/>
  <c r="I20"/>
  <c r="H20"/>
  <c r="K19"/>
  <c r="J19"/>
  <c r="I19"/>
  <c r="H19"/>
  <c r="K18"/>
  <c r="J18"/>
  <c r="I18"/>
  <c r="H18"/>
  <c r="K17"/>
  <c r="J17"/>
  <c r="I17"/>
  <c r="H17"/>
  <c r="K16"/>
  <c r="J16"/>
  <c r="I16"/>
  <c r="H16"/>
  <c r="K15"/>
  <c r="J15"/>
  <c r="I15"/>
  <c r="H15"/>
  <c r="K11"/>
  <c r="J11"/>
  <c r="I11"/>
  <c r="H11"/>
  <c r="P27"/>
  <c r="O27"/>
  <c r="N27"/>
  <c r="M27"/>
  <c r="O26"/>
  <c r="N26"/>
  <c r="M26"/>
  <c r="P25"/>
  <c r="O25"/>
  <c r="N25"/>
  <c r="M25"/>
  <c r="P24"/>
  <c r="O24"/>
  <c r="N24"/>
  <c r="M24"/>
  <c r="P23"/>
  <c r="O23"/>
  <c r="N23"/>
  <c r="M23"/>
  <c r="P20"/>
  <c r="O20"/>
  <c r="N20"/>
  <c r="M20"/>
  <c r="P17"/>
  <c r="O17"/>
  <c r="N17"/>
  <c r="M17"/>
  <c r="P14"/>
  <c r="O14"/>
  <c r="N14"/>
  <c r="M14"/>
  <c r="P13"/>
  <c r="O13"/>
  <c r="N13"/>
  <c r="M13"/>
  <c r="P12"/>
  <c r="O12"/>
  <c r="N12"/>
  <c r="M12"/>
  <c r="V20"/>
</calcChain>
</file>

<file path=xl/sharedStrings.xml><?xml version="1.0" encoding="utf-8"?>
<sst xmlns="http://schemas.openxmlformats.org/spreadsheetml/2006/main" count="492" uniqueCount="46">
  <si>
    <t>Well ID</t>
  </si>
  <si>
    <t>Average</t>
  </si>
  <si>
    <t>Max</t>
  </si>
  <si>
    <t>Min</t>
  </si>
  <si>
    <t>Std</t>
  </si>
  <si>
    <t>No Data</t>
  </si>
  <si>
    <t>US1</t>
  </si>
  <si>
    <t>US2</t>
  </si>
  <si>
    <t>US3</t>
  </si>
  <si>
    <t>US4</t>
  </si>
  <si>
    <t>US5</t>
  </si>
  <si>
    <t>US6</t>
  </si>
  <si>
    <t>US7</t>
  </si>
  <si>
    <t>US8</t>
  </si>
  <si>
    <t>US9</t>
  </si>
  <si>
    <t>US10</t>
  </si>
  <si>
    <t>US12</t>
  </si>
  <si>
    <t>US15</t>
  </si>
  <si>
    <t>US17</t>
  </si>
  <si>
    <t>US20</t>
  </si>
  <si>
    <t>Start Date</t>
  </si>
  <si>
    <t>End Date</t>
  </si>
  <si>
    <t>Wells</t>
  </si>
  <si>
    <t>Note: No 2007 Data for Upstream</t>
  </si>
  <si>
    <t>N</t>
  </si>
  <si>
    <t>Dry</t>
  </si>
  <si>
    <t>Well Depth Statistics (m)</t>
  </si>
  <si>
    <t>-</t>
  </si>
  <si>
    <t>Dry*</t>
  </si>
  <si>
    <t>Note:</t>
  </si>
  <si>
    <t>*** No Data means wells did not yet exist at this location, so no data is available.</t>
  </si>
  <si>
    <t xml:space="preserve">* Dry means no data was collected because all wells contained no water. </t>
  </si>
  <si>
    <t>US4A</t>
  </si>
  <si>
    <t>US4B</t>
  </si>
  <si>
    <t>US17F</t>
  </si>
  <si>
    <t>US18B</t>
  </si>
  <si>
    <t>US18A</t>
  </si>
  <si>
    <t>US17E</t>
  </si>
  <si>
    <r>
      <t>EC Statistics (d</t>
    </r>
    <r>
      <rPr>
        <sz val="11"/>
        <color theme="1"/>
        <rFont val="Calibri"/>
        <family val="2"/>
      </rPr>
      <t>S/m)</t>
    </r>
  </si>
  <si>
    <t>Not Irrigated</t>
  </si>
  <si>
    <t>US5A</t>
  </si>
  <si>
    <t>US14A</t>
  </si>
  <si>
    <t>US14C</t>
  </si>
  <si>
    <t>No Data***</t>
  </si>
  <si>
    <t>Not Irrigated**</t>
  </si>
  <si>
    <t xml:space="preserve">** Not Irrigated means the field has well data but was not irrigated by the owner. 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</si>
</sst>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m/d/yyyy;@"/>
  </numFmts>
  <fonts count="3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1" xfId="0" applyFont="1" applyBorder="1"/>
    <xf numFmtId="0" fontId="0" fillId="0" borderId="1" xfId="0" applyFont="1" applyBorder="1" applyAlignment="1"/>
    <xf numFmtId="0" fontId="0" fillId="0" borderId="2" xfId="0" applyFont="1" applyBorder="1"/>
    <xf numFmtId="0" fontId="0" fillId="3" borderId="4" xfId="0" applyFont="1" applyFill="1" applyBorder="1" applyAlignment="1">
      <alignment horizontal="center"/>
    </xf>
    <xf numFmtId="0" fontId="0" fillId="3" borderId="5" xfId="0" applyFont="1" applyFill="1" applyBorder="1" applyAlignment="1">
      <alignment horizontal="center"/>
    </xf>
    <xf numFmtId="164" fontId="0" fillId="0" borderId="0" xfId="0" applyNumberFormat="1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164" fontId="0" fillId="0" borderId="0" xfId="0" applyNumberFormat="1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6" xfId="0" applyBorder="1"/>
    <xf numFmtId="0" fontId="0" fillId="0" borderId="2" xfId="0" applyBorder="1"/>
    <xf numFmtId="0" fontId="0" fillId="0" borderId="0" xfId="0" applyFont="1" applyBorder="1"/>
    <xf numFmtId="0" fontId="0" fillId="0" borderId="0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0" borderId="3" xfId="0" applyBorder="1"/>
    <xf numFmtId="0" fontId="0" fillId="0" borderId="0" xfId="0" applyFont="1"/>
    <xf numFmtId="0" fontId="0" fillId="5" borderId="8" xfId="0" applyFont="1" applyFill="1" applyBorder="1" applyAlignment="1">
      <alignment horizontal="center"/>
    </xf>
    <xf numFmtId="165" fontId="1" fillId="0" borderId="9" xfId="0" applyNumberFormat="1" applyFont="1" applyBorder="1" applyAlignment="1">
      <alignment horizontal="center"/>
    </xf>
    <xf numFmtId="165" fontId="1" fillId="0" borderId="10" xfId="0" applyNumberFormat="1" applyFont="1" applyBorder="1" applyAlignment="1">
      <alignment horizontal="center"/>
    </xf>
    <xf numFmtId="0" fontId="1" fillId="0" borderId="7" xfId="0" applyNumberFormat="1" applyFont="1" applyFill="1" applyBorder="1" applyAlignment="1">
      <alignment horizontal="center"/>
    </xf>
    <xf numFmtId="14" fontId="1" fillId="0" borderId="11" xfId="0" applyNumberFormat="1" applyFont="1" applyBorder="1" applyAlignment="1">
      <alignment horizontal="center"/>
    </xf>
    <xf numFmtId="14" fontId="1" fillId="0" borderId="0" xfId="0" applyNumberFormat="1" applyFont="1" applyBorder="1" applyAlignment="1">
      <alignment horizontal="center"/>
    </xf>
    <xf numFmtId="165" fontId="1" fillId="0" borderId="0" xfId="0" applyNumberFormat="1" applyFont="1" applyBorder="1" applyAlignment="1">
      <alignment horizontal="center"/>
    </xf>
    <xf numFmtId="0" fontId="1" fillId="0" borderId="6" xfId="0" applyNumberFormat="1" applyFont="1" applyFill="1" applyBorder="1" applyAlignment="1">
      <alignment horizontal="center"/>
    </xf>
    <xf numFmtId="14" fontId="0" fillId="0" borderId="0" xfId="0" applyNumberFormat="1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Border="1"/>
    <xf numFmtId="0" fontId="0" fillId="5" borderId="5" xfId="0" applyFont="1" applyFill="1" applyBorder="1" applyAlignment="1">
      <alignment horizontal="center"/>
    </xf>
    <xf numFmtId="14" fontId="0" fillId="0" borderId="11" xfId="0" applyNumberFormat="1" applyFont="1" applyBorder="1" applyAlignment="1">
      <alignment horizontal="center"/>
    </xf>
    <xf numFmtId="0" fontId="0" fillId="0" borderId="0" xfId="0" applyFill="1" applyBorder="1" applyAlignment="1">
      <alignment horizontal="center"/>
    </xf>
    <xf numFmtId="14" fontId="0" fillId="0" borderId="0" xfId="0" applyNumberFormat="1" applyFont="1" applyFill="1" applyBorder="1" applyAlignment="1">
      <alignment horizontal="center"/>
    </xf>
    <xf numFmtId="14" fontId="0" fillId="0" borderId="11" xfId="0" applyNumberFormat="1" applyBorder="1" applyAlignment="1">
      <alignment horizontal="center"/>
    </xf>
    <xf numFmtId="14" fontId="0" fillId="0" borderId="0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Font="1" applyBorder="1" applyAlignment="1"/>
    <xf numFmtId="2" fontId="0" fillId="0" borderId="0" xfId="0" applyNumberForma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2" fontId="0" fillId="0" borderId="0" xfId="0" applyNumberFormat="1" applyFont="1" applyBorder="1" applyAlignment="1">
      <alignment horizontal="center"/>
    </xf>
    <xf numFmtId="2" fontId="0" fillId="0" borderId="6" xfId="0" applyNumberFormat="1" applyFon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0" borderId="0" xfId="0" applyNumberFormat="1" applyFont="1" applyFill="1" applyBorder="1" applyAlignment="1">
      <alignment horizontal="center"/>
    </xf>
    <xf numFmtId="0" fontId="0" fillId="5" borderId="13" xfId="0" applyFill="1" applyBorder="1"/>
    <xf numFmtId="0" fontId="0" fillId="2" borderId="9" xfId="0" applyFill="1" applyBorder="1"/>
    <xf numFmtId="0" fontId="0" fillId="2" borderId="10" xfId="0" applyFill="1" applyBorder="1"/>
    <xf numFmtId="0" fontId="0" fillId="2" borderId="7" xfId="0" applyFill="1" applyBorder="1"/>
    <xf numFmtId="0" fontId="0" fillId="2" borderId="12" xfId="0" applyFill="1" applyBorder="1"/>
    <xf numFmtId="0" fontId="0" fillId="2" borderId="1" xfId="0" applyFill="1" applyBorder="1"/>
    <xf numFmtId="0" fontId="0" fillId="2" borderId="3" xfId="0" applyFill="1" applyBorder="1"/>
    <xf numFmtId="1" fontId="0" fillId="0" borderId="0" xfId="0" applyNumberFormat="1" applyAlignment="1">
      <alignment horizontal="center"/>
    </xf>
    <xf numFmtId="2" fontId="0" fillId="0" borderId="1" xfId="0" applyNumberFormat="1" applyFont="1" applyBorder="1" applyAlignment="1">
      <alignment horizontal="center"/>
    </xf>
    <xf numFmtId="2" fontId="0" fillId="0" borderId="3" xfId="0" applyNumberFormat="1" applyFont="1" applyBorder="1" applyAlignment="1">
      <alignment horizontal="center"/>
    </xf>
    <xf numFmtId="0" fontId="0" fillId="2" borderId="11" xfId="0" applyFill="1" applyBorder="1"/>
    <xf numFmtId="0" fontId="0" fillId="2" borderId="0" xfId="0" applyFill="1" applyBorder="1"/>
    <xf numFmtId="0" fontId="0" fillId="2" borderId="6" xfId="0" applyFill="1" applyBorder="1"/>
    <xf numFmtId="14" fontId="1" fillId="0" borderId="12" xfId="0" applyNumberFormat="1" applyFont="1" applyBorder="1" applyAlignment="1">
      <alignment horizontal="center"/>
    </xf>
    <xf numFmtId="165" fontId="1" fillId="0" borderId="1" xfId="0" applyNumberFormat="1" applyFont="1" applyBorder="1" applyAlignment="1">
      <alignment horizontal="center"/>
    </xf>
    <xf numFmtId="14" fontId="0" fillId="0" borderId="12" xfId="0" applyNumberFormat="1" applyFont="1" applyBorder="1" applyAlignment="1">
      <alignment horizontal="center"/>
    </xf>
    <xf numFmtId="14" fontId="1" fillId="0" borderId="1" xfId="0" applyNumberFormat="1" applyFont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4" borderId="5" xfId="0" applyFont="1" applyFill="1" applyBorder="1" applyAlignment="1">
      <alignment horizontal="center"/>
    </xf>
    <xf numFmtId="0" fontId="0" fillId="2" borderId="13" xfId="0" applyFont="1" applyFill="1" applyBorder="1" applyAlignment="1">
      <alignment horizontal="center"/>
    </xf>
    <xf numFmtId="0" fontId="0" fillId="2" borderId="14" xfId="0" applyFont="1" applyFill="1" applyBorder="1" applyAlignment="1">
      <alignment horizontal="center"/>
    </xf>
    <xf numFmtId="0" fontId="0" fillId="2" borderId="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AD55"/>
  <sheetViews>
    <sheetView tabSelected="1" workbookViewId="0">
      <selection activeCell="M40" sqref="M40"/>
    </sheetView>
  </sheetViews>
  <sheetFormatPr defaultColWidth="12.7109375" defaultRowHeight="15"/>
  <cols>
    <col min="8" max="8" width="14.140625" customWidth="1"/>
  </cols>
  <sheetData>
    <row r="3" spans="1:30">
      <c r="A3" s="67" t="s">
        <v>26</v>
      </c>
      <c r="B3" s="68"/>
      <c r="C3" s="69"/>
    </row>
    <row r="4" spans="1:30">
      <c r="A4" t="s">
        <v>23</v>
      </c>
    </row>
    <row r="5" spans="1:30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</row>
    <row r="6" spans="1:30">
      <c r="A6" s="3"/>
      <c r="B6" s="71">
        <v>2005</v>
      </c>
      <c r="C6" s="72"/>
      <c r="D6" s="72"/>
      <c r="E6" s="72"/>
      <c r="F6" s="73"/>
      <c r="G6" s="71">
        <v>2006</v>
      </c>
      <c r="H6" s="72"/>
      <c r="I6" s="72"/>
      <c r="J6" s="72"/>
      <c r="K6" s="73"/>
      <c r="L6" s="71">
        <v>2008</v>
      </c>
      <c r="M6" s="72"/>
      <c r="N6" s="72"/>
      <c r="O6" s="72"/>
      <c r="P6" s="73"/>
    </row>
    <row r="7" spans="1:30">
      <c r="A7" s="3" t="s">
        <v>0</v>
      </c>
      <c r="B7" s="5" t="s">
        <v>24</v>
      </c>
      <c r="C7" s="4" t="s">
        <v>1</v>
      </c>
      <c r="D7" s="5" t="s">
        <v>2</v>
      </c>
      <c r="E7" s="5" t="s">
        <v>3</v>
      </c>
      <c r="F7" s="5" t="s">
        <v>4</v>
      </c>
      <c r="G7" s="4" t="s">
        <v>24</v>
      </c>
      <c r="H7" s="5" t="s">
        <v>1</v>
      </c>
      <c r="I7" s="5" t="s">
        <v>2</v>
      </c>
      <c r="J7" s="5" t="s">
        <v>3</v>
      </c>
      <c r="K7" s="5" t="s">
        <v>4</v>
      </c>
      <c r="L7" s="4" t="s">
        <v>24</v>
      </c>
      <c r="M7" s="5" t="s">
        <v>1</v>
      </c>
      <c r="N7" s="5" t="s">
        <v>2</v>
      </c>
      <c r="O7" s="5" t="s">
        <v>3</v>
      </c>
      <c r="P7" s="5" t="s">
        <v>4</v>
      </c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</row>
    <row r="8" spans="1:30">
      <c r="A8" s="14" t="s">
        <v>6</v>
      </c>
      <c r="B8" s="30">
        <v>0</v>
      </c>
      <c r="C8" s="43" t="s">
        <v>28</v>
      </c>
      <c r="D8" s="43" t="s">
        <v>25</v>
      </c>
      <c r="E8" s="43" t="s">
        <v>25</v>
      </c>
      <c r="F8" s="44" t="s">
        <v>25</v>
      </c>
      <c r="G8" s="57">
        <v>0</v>
      </c>
      <c r="H8" s="43" t="s">
        <v>44</v>
      </c>
      <c r="I8" s="43" t="s">
        <v>39</v>
      </c>
      <c r="J8" s="43" t="s">
        <v>39</v>
      </c>
      <c r="K8" s="44" t="s">
        <v>39</v>
      </c>
      <c r="L8" s="57">
        <v>0</v>
      </c>
      <c r="M8" s="43" t="s">
        <v>39</v>
      </c>
      <c r="N8" s="43" t="s">
        <v>39</v>
      </c>
      <c r="O8" s="43" t="s">
        <v>39</v>
      </c>
      <c r="P8" s="44" t="s">
        <v>39</v>
      </c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34"/>
    </row>
    <row r="9" spans="1:30">
      <c r="A9" s="14" t="s">
        <v>7</v>
      </c>
      <c r="B9" s="30">
        <v>15</v>
      </c>
      <c r="C9" s="43">
        <v>5.810973333333334</v>
      </c>
      <c r="D9" s="43">
        <v>6.3246000000000002</v>
      </c>
      <c r="E9" s="43">
        <v>4.9608400000000001</v>
      </c>
      <c r="F9" s="44">
        <v>0.4086525605147221</v>
      </c>
      <c r="G9" s="57">
        <v>0</v>
      </c>
      <c r="H9" s="43" t="s">
        <v>39</v>
      </c>
      <c r="I9" s="43" t="s">
        <v>39</v>
      </c>
      <c r="J9" s="43" t="s">
        <v>39</v>
      </c>
      <c r="K9" s="44" t="s">
        <v>39</v>
      </c>
      <c r="L9" s="57">
        <v>0</v>
      </c>
      <c r="M9" s="43" t="s">
        <v>39</v>
      </c>
      <c r="N9" s="43" t="s">
        <v>39</v>
      </c>
      <c r="O9" s="43" t="s">
        <v>39</v>
      </c>
      <c r="P9" s="44" t="s">
        <v>39</v>
      </c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34"/>
    </row>
    <row r="10" spans="1:30">
      <c r="A10" s="14" t="s">
        <v>8</v>
      </c>
      <c r="B10" s="30">
        <v>34</v>
      </c>
      <c r="C10" s="45">
        <v>5.4583012500000008</v>
      </c>
      <c r="D10" s="45">
        <v>5.7759600000000004</v>
      </c>
      <c r="E10" s="45">
        <v>4.8524159999999998</v>
      </c>
      <c r="F10" s="46">
        <v>0.25955294455874889</v>
      </c>
      <c r="G10" s="17">
        <v>18</v>
      </c>
      <c r="H10" s="43" t="s">
        <v>39</v>
      </c>
      <c r="I10" s="43" t="s">
        <v>39</v>
      </c>
      <c r="J10" s="43" t="s">
        <v>39</v>
      </c>
      <c r="K10" s="44" t="s">
        <v>39</v>
      </c>
      <c r="L10" s="17">
        <v>0</v>
      </c>
      <c r="M10" s="43" t="s">
        <v>39</v>
      </c>
      <c r="N10" s="43" t="s">
        <v>39</v>
      </c>
      <c r="O10" s="43" t="s">
        <v>39</v>
      </c>
      <c r="P10" s="44" t="s">
        <v>39</v>
      </c>
      <c r="R10" s="6"/>
      <c r="S10" s="6"/>
      <c r="T10" s="6"/>
      <c r="U10" s="6"/>
      <c r="V10" s="6"/>
      <c r="W10" s="6"/>
      <c r="X10" s="6"/>
      <c r="Y10" s="6"/>
      <c r="Z10" s="17"/>
      <c r="AA10" s="17"/>
      <c r="AB10" s="17"/>
      <c r="AC10" s="17"/>
      <c r="AD10" s="34"/>
    </row>
    <row r="11" spans="1:30">
      <c r="A11" s="14" t="s">
        <v>9</v>
      </c>
      <c r="B11" s="30">
        <v>71</v>
      </c>
      <c r="C11" s="45">
        <v>1.8768177230769232</v>
      </c>
      <c r="D11" s="45">
        <v>5.2425600000000001</v>
      </c>
      <c r="E11" s="45">
        <v>0.67056000000000004</v>
      </c>
      <c r="F11" s="46">
        <v>1.1735419603198614</v>
      </c>
      <c r="G11" s="17">
        <v>22</v>
      </c>
      <c r="H11" s="45">
        <v>1.5740909090909092</v>
      </c>
      <c r="I11" s="45">
        <v>2.17</v>
      </c>
      <c r="J11" s="45">
        <v>1.1399999999999999</v>
      </c>
      <c r="K11" s="46">
        <v>0.33397546375386805</v>
      </c>
      <c r="L11" s="17">
        <v>0</v>
      </c>
      <c r="M11" s="43" t="s">
        <v>39</v>
      </c>
      <c r="N11" s="43" t="s">
        <v>39</v>
      </c>
      <c r="O11" s="43" t="s">
        <v>39</v>
      </c>
      <c r="P11" s="44" t="s">
        <v>39</v>
      </c>
      <c r="R11" s="7"/>
      <c r="S11" s="7"/>
      <c r="T11" s="7"/>
      <c r="U11" s="7"/>
      <c r="V11" s="6"/>
      <c r="W11" s="6"/>
      <c r="X11" s="6"/>
      <c r="Y11" s="6"/>
      <c r="Z11" s="6"/>
      <c r="AA11" s="6"/>
      <c r="AB11" s="6"/>
      <c r="AC11" s="6"/>
      <c r="AD11" s="34"/>
    </row>
    <row r="12" spans="1:30">
      <c r="A12" s="14" t="s">
        <v>32</v>
      </c>
      <c r="B12" s="17">
        <v>0</v>
      </c>
      <c r="C12" s="43" t="s">
        <v>39</v>
      </c>
      <c r="D12" s="43" t="s">
        <v>39</v>
      </c>
      <c r="E12" s="43" t="s">
        <v>39</v>
      </c>
      <c r="F12" s="44" t="s">
        <v>39</v>
      </c>
      <c r="G12" s="17">
        <v>0</v>
      </c>
      <c r="H12" s="43" t="s">
        <v>39</v>
      </c>
      <c r="I12" s="43" t="s">
        <v>39</v>
      </c>
      <c r="J12" s="43" t="s">
        <v>39</v>
      </c>
      <c r="K12" s="44" t="s">
        <v>39</v>
      </c>
      <c r="L12" s="17">
        <v>4</v>
      </c>
      <c r="M12" s="45">
        <v>1.8748499999999999</v>
      </c>
      <c r="N12" s="45">
        <v>2.3370000000000002</v>
      </c>
      <c r="O12" s="45">
        <v>1.1499999999999999</v>
      </c>
      <c r="P12" s="46">
        <v>0.57475556253651594</v>
      </c>
      <c r="R12" s="7"/>
      <c r="S12" s="7"/>
      <c r="T12" s="7"/>
      <c r="U12" s="7"/>
      <c r="V12" s="6"/>
      <c r="W12" s="6"/>
      <c r="X12" s="6"/>
      <c r="Y12" s="6"/>
      <c r="Z12" s="6"/>
      <c r="AA12" s="6"/>
      <c r="AB12" s="6"/>
      <c r="AC12" s="6"/>
      <c r="AD12" s="34"/>
    </row>
    <row r="13" spans="1:30">
      <c r="A13" s="14" t="s">
        <v>33</v>
      </c>
      <c r="B13" s="17">
        <v>0</v>
      </c>
      <c r="C13" s="43" t="s">
        <v>39</v>
      </c>
      <c r="D13" s="43" t="s">
        <v>39</v>
      </c>
      <c r="E13" s="43" t="s">
        <v>39</v>
      </c>
      <c r="F13" s="44" t="s">
        <v>39</v>
      </c>
      <c r="G13" s="17">
        <v>0</v>
      </c>
      <c r="H13" s="43" t="s">
        <v>39</v>
      </c>
      <c r="I13" s="43" t="s">
        <v>39</v>
      </c>
      <c r="J13" s="43" t="s">
        <v>39</v>
      </c>
      <c r="K13" s="44" t="s">
        <v>39</v>
      </c>
      <c r="L13" s="17">
        <v>4</v>
      </c>
      <c r="M13" s="45">
        <v>1.3850500000000003</v>
      </c>
      <c r="N13" s="45">
        <v>1.524</v>
      </c>
      <c r="O13" s="45">
        <v>1.1938</v>
      </c>
      <c r="P13" s="46">
        <v>0.13844636747371003</v>
      </c>
      <c r="R13" s="7"/>
      <c r="S13" s="7"/>
      <c r="T13" s="7"/>
      <c r="U13" s="7"/>
      <c r="V13" s="6"/>
      <c r="W13" s="6"/>
      <c r="X13" s="6"/>
      <c r="Y13" s="6"/>
      <c r="Z13" s="6"/>
      <c r="AA13" s="6"/>
      <c r="AB13" s="6"/>
      <c r="AC13" s="6"/>
      <c r="AD13" s="34"/>
    </row>
    <row r="14" spans="1:30">
      <c r="A14" s="14" t="s">
        <v>40</v>
      </c>
      <c r="B14" s="30">
        <v>1</v>
      </c>
      <c r="C14" s="43">
        <v>5.48</v>
      </c>
      <c r="D14" s="43">
        <v>5.48</v>
      </c>
      <c r="E14" s="43">
        <v>5.48</v>
      </c>
      <c r="F14" s="44" t="s">
        <v>27</v>
      </c>
      <c r="G14" s="17">
        <v>0</v>
      </c>
      <c r="H14" s="43" t="s">
        <v>25</v>
      </c>
      <c r="I14" s="43" t="s">
        <v>25</v>
      </c>
      <c r="J14" s="43" t="s">
        <v>25</v>
      </c>
      <c r="K14" s="44" t="s">
        <v>25</v>
      </c>
      <c r="L14" s="17">
        <v>12</v>
      </c>
      <c r="M14" s="45">
        <v>4.25</v>
      </c>
      <c r="N14" s="45">
        <v>5.12</v>
      </c>
      <c r="O14" s="45">
        <v>3.43</v>
      </c>
      <c r="P14" s="46">
        <v>0.65700422027149041</v>
      </c>
      <c r="R14" s="18"/>
      <c r="S14" s="18"/>
      <c r="T14" s="18"/>
      <c r="U14" s="18"/>
      <c r="V14" s="18"/>
      <c r="W14" s="18"/>
      <c r="X14" s="18"/>
      <c r="Y14" s="18"/>
      <c r="Z14" s="6"/>
      <c r="AA14" s="6"/>
      <c r="AB14" s="6"/>
      <c r="AC14" s="6"/>
      <c r="AD14" s="34"/>
    </row>
    <row r="15" spans="1:30">
      <c r="A15" s="14" t="s">
        <v>11</v>
      </c>
      <c r="B15" s="30">
        <v>49</v>
      </c>
      <c r="C15" s="45">
        <v>3.8385956862745103</v>
      </c>
      <c r="D15" s="45">
        <v>5.6675000000000004</v>
      </c>
      <c r="E15" s="45">
        <v>1.5453360000000003</v>
      </c>
      <c r="F15" s="46">
        <v>1.3947533852409919</v>
      </c>
      <c r="G15" s="17">
        <v>33</v>
      </c>
      <c r="H15" s="45">
        <v>3.7587878787878788</v>
      </c>
      <c r="I15" s="45">
        <v>6.06</v>
      </c>
      <c r="J15" s="45">
        <v>1.94</v>
      </c>
      <c r="K15" s="46">
        <v>1.3989320872896216</v>
      </c>
      <c r="L15" s="17">
        <v>0</v>
      </c>
      <c r="M15" s="43" t="s">
        <v>39</v>
      </c>
      <c r="N15" s="43" t="s">
        <v>39</v>
      </c>
      <c r="O15" s="43" t="s">
        <v>39</v>
      </c>
      <c r="P15" s="44" t="s">
        <v>39</v>
      </c>
      <c r="R15" s="6"/>
      <c r="S15" s="6"/>
      <c r="T15" s="6"/>
      <c r="U15" s="6"/>
      <c r="V15" s="6"/>
      <c r="W15" s="6"/>
      <c r="X15" s="6"/>
      <c r="Y15" s="6"/>
      <c r="Z15" s="18"/>
      <c r="AA15" s="18"/>
      <c r="AB15" s="18"/>
      <c r="AC15" s="18"/>
      <c r="AD15" s="34"/>
    </row>
    <row r="16" spans="1:30">
      <c r="A16" s="14" t="s">
        <v>12</v>
      </c>
      <c r="B16" s="30">
        <v>32</v>
      </c>
      <c r="C16" s="45">
        <v>5.1457845882352951</v>
      </c>
      <c r="D16" s="45">
        <v>5.6675000000000004</v>
      </c>
      <c r="E16" s="45">
        <v>3.4930080000000006</v>
      </c>
      <c r="F16" s="46">
        <v>0.6880024322786894</v>
      </c>
      <c r="G16" s="17">
        <v>33</v>
      </c>
      <c r="H16" s="45">
        <v>4.497878787878788</v>
      </c>
      <c r="I16" s="45">
        <v>6.06</v>
      </c>
      <c r="J16" s="45">
        <v>3.3599999999999994</v>
      </c>
      <c r="K16" s="46">
        <v>0.85326489723209265</v>
      </c>
      <c r="L16" s="17">
        <v>0</v>
      </c>
      <c r="M16" s="43" t="s">
        <v>39</v>
      </c>
      <c r="N16" s="43" t="s">
        <v>39</v>
      </c>
      <c r="O16" s="43" t="s">
        <v>39</v>
      </c>
      <c r="P16" s="44" t="s">
        <v>39</v>
      </c>
      <c r="R16" s="6"/>
      <c r="S16" s="6"/>
      <c r="T16" s="6"/>
      <c r="U16" s="6"/>
      <c r="V16" s="6"/>
      <c r="W16" s="6"/>
      <c r="X16" s="6"/>
      <c r="Y16" s="6"/>
      <c r="Z16" s="18"/>
      <c r="AA16" s="18"/>
      <c r="AB16" s="18"/>
      <c r="AC16" s="18"/>
      <c r="AD16" s="34"/>
    </row>
    <row r="17" spans="1:30">
      <c r="A17" s="14" t="s">
        <v>13</v>
      </c>
      <c r="B17" s="30">
        <v>31</v>
      </c>
      <c r="C17" s="45">
        <v>3.0811647500000006</v>
      </c>
      <c r="D17" s="45">
        <v>5.6865519999999998</v>
      </c>
      <c r="E17" s="45">
        <v>2.2809200000000001</v>
      </c>
      <c r="F17" s="46">
        <v>0.75760343392420804</v>
      </c>
      <c r="G17" s="17">
        <v>21</v>
      </c>
      <c r="H17" s="45">
        <v>3.4849999999999999</v>
      </c>
      <c r="I17" s="45">
        <v>4.7</v>
      </c>
      <c r="J17" s="45">
        <v>2.63</v>
      </c>
      <c r="K17" s="46">
        <v>0.66120452854727829</v>
      </c>
      <c r="L17" s="17">
        <v>4</v>
      </c>
      <c r="M17" s="45">
        <v>4.0324999999999998</v>
      </c>
      <c r="N17" s="45">
        <v>6.27</v>
      </c>
      <c r="O17" s="45">
        <v>3.2500000000000004</v>
      </c>
      <c r="P17" s="46">
        <v>1.4920316127124582</v>
      </c>
      <c r="R17" s="7"/>
      <c r="S17" s="7"/>
      <c r="T17" s="7"/>
      <c r="U17" s="7">
        <v>0.30480000000000002</v>
      </c>
      <c r="V17" s="7"/>
      <c r="W17" s="7"/>
      <c r="X17" s="7"/>
      <c r="Y17" s="7"/>
      <c r="Z17" s="7"/>
      <c r="AA17" s="7"/>
      <c r="AB17" s="7"/>
      <c r="AC17" s="7"/>
      <c r="AD17" s="34"/>
    </row>
    <row r="18" spans="1:30">
      <c r="A18" s="14" t="s">
        <v>14</v>
      </c>
      <c r="B18" s="30">
        <v>166</v>
      </c>
      <c r="C18" s="45">
        <v>1.9700808525252524</v>
      </c>
      <c r="D18" s="45">
        <v>2.6720799999999998</v>
      </c>
      <c r="E18" s="45">
        <v>1.1684000000000001</v>
      </c>
      <c r="F18" s="46">
        <v>0.33539982538072133</v>
      </c>
      <c r="G18" s="17">
        <v>124</v>
      </c>
      <c r="H18" s="45">
        <v>1.9598809917355375</v>
      </c>
      <c r="I18" s="45">
        <v>2.74</v>
      </c>
      <c r="J18" s="45">
        <v>1.0900000000000001</v>
      </c>
      <c r="K18" s="46">
        <v>0.34275774757805227</v>
      </c>
      <c r="L18" s="17">
        <v>0</v>
      </c>
      <c r="M18" s="43" t="s">
        <v>39</v>
      </c>
      <c r="N18" s="43" t="s">
        <v>39</v>
      </c>
      <c r="O18" s="43" t="s">
        <v>39</v>
      </c>
      <c r="P18" s="44" t="s">
        <v>39</v>
      </c>
      <c r="R18" s="6"/>
      <c r="S18" s="6"/>
      <c r="T18" s="6"/>
      <c r="U18" s="6"/>
      <c r="V18" s="6"/>
      <c r="W18" s="6"/>
      <c r="X18" s="6"/>
      <c r="Y18" s="6"/>
      <c r="Z18" s="18"/>
      <c r="AA18" s="18"/>
      <c r="AB18" s="18"/>
      <c r="AC18" s="18"/>
      <c r="AD18" s="34"/>
    </row>
    <row r="19" spans="1:30">
      <c r="A19" s="14" t="s">
        <v>15</v>
      </c>
      <c r="B19" s="30">
        <v>59</v>
      </c>
      <c r="C19" s="45">
        <v>4.048392333333334</v>
      </c>
      <c r="D19" s="45">
        <v>5.6692800000000005</v>
      </c>
      <c r="E19" s="45">
        <v>1.612392</v>
      </c>
      <c r="F19" s="46">
        <v>1.3599821799520682</v>
      </c>
      <c r="G19" s="17">
        <v>42</v>
      </c>
      <c r="H19" s="45">
        <v>4.0238636363636369</v>
      </c>
      <c r="I19" s="45">
        <v>5.81</v>
      </c>
      <c r="J19" s="45">
        <v>2.11</v>
      </c>
      <c r="K19" s="46">
        <v>1.2707116171410742</v>
      </c>
      <c r="L19" s="17">
        <v>0</v>
      </c>
      <c r="M19" s="43" t="s">
        <v>39</v>
      </c>
      <c r="N19" s="43" t="s">
        <v>39</v>
      </c>
      <c r="O19" s="43" t="s">
        <v>39</v>
      </c>
      <c r="P19" s="44" t="s">
        <v>39</v>
      </c>
      <c r="R19" s="6"/>
      <c r="S19" s="6"/>
      <c r="T19" s="6"/>
      <c r="U19" s="6"/>
      <c r="V19" s="7"/>
      <c r="W19" s="7"/>
      <c r="X19" s="7"/>
      <c r="Y19" s="6"/>
      <c r="Z19" s="37"/>
      <c r="AA19" s="37"/>
      <c r="AB19" s="37"/>
      <c r="AC19" s="18"/>
      <c r="AD19" s="34"/>
    </row>
    <row r="20" spans="1:30">
      <c r="A20" s="15" t="s">
        <v>16</v>
      </c>
      <c r="B20" s="30">
        <v>40</v>
      </c>
      <c r="C20" s="45">
        <v>3.3509058039215684</v>
      </c>
      <c r="D20" s="45">
        <v>5.63</v>
      </c>
      <c r="E20" s="45">
        <v>1.3590399999999998</v>
      </c>
      <c r="F20" s="46">
        <v>1.7832056450544356</v>
      </c>
      <c r="G20" s="17">
        <v>35</v>
      </c>
      <c r="H20" s="45">
        <v>3.6061083333333332</v>
      </c>
      <c r="I20" s="45">
        <v>5.46</v>
      </c>
      <c r="J20" s="45">
        <v>0.98</v>
      </c>
      <c r="K20" s="46">
        <v>1.674641327207087</v>
      </c>
      <c r="L20" s="17">
        <v>9</v>
      </c>
      <c r="M20" s="45">
        <v>3.1109999999999998</v>
      </c>
      <c r="N20" s="45">
        <v>3.81</v>
      </c>
      <c r="O20" s="45">
        <v>2.46</v>
      </c>
      <c r="P20" s="46">
        <v>0.46829477895872484</v>
      </c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34"/>
    </row>
    <row r="21" spans="1:30">
      <c r="A21" s="14" t="s">
        <v>41</v>
      </c>
      <c r="B21" s="30">
        <v>31</v>
      </c>
      <c r="C21" s="45">
        <v>2.4756637419354837</v>
      </c>
      <c r="D21" s="45">
        <v>2.9230320000000001</v>
      </c>
      <c r="E21" s="45">
        <v>1.7932399999999999</v>
      </c>
      <c r="F21" s="46">
        <v>0.28832466720961591</v>
      </c>
      <c r="G21" s="17">
        <v>17</v>
      </c>
      <c r="H21" s="45">
        <v>2.4723529411764704</v>
      </c>
      <c r="I21" s="45">
        <v>2.8600000000000003</v>
      </c>
      <c r="J21" s="45">
        <v>2.0099999999999998</v>
      </c>
      <c r="K21" s="46">
        <v>0.25586933705908982</v>
      </c>
      <c r="L21" s="17">
        <v>10</v>
      </c>
      <c r="M21" s="49">
        <v>1.1259999999999999</v>
      </c>
      <c r="N21" s="49">
        <v>1.85</v>
      </c>
      <c r="O21" s="49">
        <v>0.56000000000000005</v>
      </c>
      <c r="P21" s="46">
        <v>0.42445258863623381</v>
      </c>
      <c r="R21" s="7"/>
      <c r="S21" s="7"/>
      <c r="T21" s="7"/>
      <c r="U21" s="6"/>
      <c r="V21" s="7"/>
      <c r="W21" s="7"/>
      <c r="X21" s="7"/>
      <c r="Y21" s="6"/>
      <c r="Z21" s="10"/>
      <c r="AA21" s="10"/>
      <c r="AB21" s="10"/>
      <c r="AC21" s="6"/>
      <c r="AD21" s="34"/>
    </row>
    <row r="22" spans="1:30">
      <c r="A22" s="14" t="s">
        <v>42</v>
      </c>
      <c r="B22" s="30">
        <v>5</v>
      </c>
      <c r="C22" s="45">
        <v>1.1139999999999999</v>
      </c>
      <c r="D22" s="45">
        <v>1.2699999999999998</v>
      </c>
      <c r="E22" s="45">
        <v>0.90999999999999992</v>
      </c>
      <c r="F22" s="46">
        <v>0.14604793733565755</v>
      </c>
      <c r="G22" s="17">
        <v>20</v>
      </c>
      <c r="H22" s="45">
        <v>1.9684999999999999</v>
      </c>
      <c r="I22" s="45">
        <v>2.46</v>
      </c>
      <c r="J22" s="45">
        <v>1.55</v>
      </c>
      <c r="K22" s="46">
        <v>0.29729083757368713</v>
      </c>
      <c r="L22" s="17">
        <v>5</v>
      </c>
      <c r="M22" s="49">
        <v>1.1139999999999999</v>
      </c>
      <c r="N22" s="49">
        <v>1.2699999999999998</v>
      </c>
      <c r="O22" s="49">
        <v>0.90999999999999992</v>
      </c>
      <c r="P22" s="46">
        <v>0.14604793733565755</v>
      </c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34"/>
    </row>
    <row r="23" spans="1:30">
      <c r="A23" s="14" t="s">
        <v>17</v>
      </c>
      <c r="B23" s="30">
        <v>0</v>
      </c>
      <c r="C23" s="43" t="s">
        <v>43</v>
      </c>
      <c r="D23" s="43" t="s">
        <v>5</v>
      </c>
      <c r="E23" s="43" t="s">
        <v>5</v>
      </c>
      <c r="F23" s="44" t="s">
        <v>5</v>
      </c>
      <c r="G23" s="17">
        <v>0</v>
      </c>
      <c r="H23" s="43" t="s">
        <v>5</v>
      </c>
      <c r="I23" s="43" t="s">
        <v>5</v>
      </c>
      <c r="J23" s="43" t="s">
        <v>5</v>
      </c>
      <c r="K23" s="44" t="s">
        <v>5</v>
      </c>
      <c r="L23" s="17">
        <v>8</v>
      </c>
      <c r="M23" s="43">
        <v>1.0920000000000001</v>
      </c>
      <c r="N23" s="43">
        <v>3.2</v>
      </c>
      <c r="O23" s="43">
        <v>0.69</v>
      </c>
      <c r="P23" s="44">
        <v>0.80979605016148515</v>
      </c>
      <c r="R23" s="17"/>
      <c r="S23" s="17"/>
      <c r="T23" s="17"/>
      <c r="U23" s="18"/>
      <c r="V23" s="17"/>
      <c r="W23" s="17"/>
      <c r="X23" s="17"/>
      <c r="Y23" s="18"/>
      <c r="Z23" s="17"/>
      <c r="AA23" s="17"/>
      <c r="AB23" s="17"/>
      <c r="AC23" s="18"/>
      <c r="AD23" s="34"/>
    </row>
    <row r="24" spans="1:30">
      <c r="A24" s="14" t="s">
        <v>37</v>
      </c>
      <c r="B24" s="30">
        <v>0</v>
      </c>
      <c r="C24" s="43" t="s">
        <v>5</v>
      </c>
      <c r="D24" s="43" t="s">
        <v>5</v>
      </c>
      <c r="E24" s="43" t="s">
        <v>5</v>
      </c>
      <c r="F24" s="44" t="s">
        <v>5</v>
      </c>
      <c r="G24" s="17">
        <v>0</v>
      </c>
      <c r="H24" s="43" t="s">
        <v>5</v>
      </c>
      <c r="I24" s="43" t="s">
        <v>5</v>
      </c>
      <c r="J24" s="43" t="s">
        <v>5</v>
      </c>
      <c r="K24" s="44" t="s">
        <v>5</v>
      </c>
      <c r="L24" s="17">
        <v>6</v>
      </c>
      <c r="M24" s="43">
        <v>2.0266666666666664</v>
      </c>
      <c r="N24" s="43">
        <v>2.13</v>
      </c>
      <c r="O24" s="43">
        <v>1.93</v>
      </c>
      <c r="P24" s="44">
        <v>6.8313005106400065E-2</v>
      </c>
      <c r="R24" s="17"/>
      <c r="S24" s="17"/>
      <c r="T24" s="17"/>
      <c r="U24" s="18"/>
      <c r="V24" s="17"/>
      <c r="W24" s="17"/>
      <c r="X24" s="17"/>
      <c r="Y24" s="18"/>
      <c r="Z24" s="17"/>
      <c r="AA24" s="17"/>
      <c r="AB24" s="17"/>
      <c r="AC24" s="18"/>
      <c r="AD24" s="34"/>
    </row>
    <row r="25" spans="1:30">
      <c r="A25" s="14" t="s">
        <v>34</v>
      </c>
      <c r="B25" s="30">
        <v>0</v>
      </c>
      <c r="C25" s="43" t="s">
        <v>5</v>
      </c>
      <c r="D25" s="43" t="s">
        <v>5</v>
      </c>
      <c r="E25" s="43" t="s">
        <v>5</v>
      </c>
      <c r="F25" s="44" t="s">
        <v>5</v>
      </c>
      <c r="G25" s="17">
        <v>0</v>
      </c>
      <c r="H25" s="43" t="s">
        <v>5</v>
      </c>
      <c r="I25" s="43" t="s">
        <v>5</v>
      </c>
      <c r="J25" s="43" t="s">
        <v>5</v>
      </c>
      <c r="K25" s="44" t="s">
        <v>5</v>
      </c>
      <c r="L25" s="17">
        <v>4</v>
      </c>
      <c r="M25" s="43">
        <v>3.3700000000000006</v>
      </c>
      <c r="N25" s="43">
        <v>3.45</v>
      </c>
      <c r="O25" s="43">
        <v>3.33</v>
      </c>
      <c r="P25" s="44">
        <v>5.416025603088323E-2</v>
      </c>
      <c r="R25" s="17"/>
      <c r="S25" s="17"/>
      <c r="T25" s="17"/>
      <c r="U25" s="18"/>
      <c r="V25" s="18"/>
      <c r="W25" s="18"/>
      <c r="X25" s="18"/>
      <c r="Y25" s="18"/>
      <c r="Z25" s="43"/>
      <c r="AA25" s="43"/>
      <c r="AB25" s="43"/>
      <c r="AC25" s="43"/>
      <c r="AD25" s="34"/>
    </row>
    <row r="26" spans="1:30">
      <c r="A26" s="14" t="s">
        <v>36</v>
      </c>
      <c r="B26" s="30">
        <v>0</v>
      </c>
      <c r="C26" s="43" t="s">
        <v>5</v>
      </c>
      <c r="D26" s="43" t="s">
        <v>5</v>
      </c>
      <c r="E26" s="43" t="s">
        <v>5</v>
      </c>
      <c r="F26" s="44" t="s">
        <v>5</v>
      </c>
      <c r="G26" s="17">
        <v>0</v>
      </c>
      <c r="H26" s="43" t="s">
        <v>5</v>
      </c>
      <c r="I26" s="43" t="s">
        <v>5</v>
      </c>
      <c r="J26" s="43" t="s">
        <v>5</v>
      </c>
      <c r="K26" s="44" t="s">
        <v>5</v>
      </c>
      <c r="L26" s="17">
        <v>1</v>
      </c>
      <c r="M26" s="43">
        <v>4.5199999999999996</v>
      </c>
      <c r="N26" s="43">
        <v>4.5199999999999996</v>
      </c>
      <c r="O26" s="43">
        <v>4.5199999999999996</v>
      </c>
      <c r="P26" s="44" t="s">
        <v>27</v>
      </c>
      <c r="R26" s="17"/>
      <c r="S26" s="17"/>
      <c r="T26" s="17"/>
      <c r="U26" s="18"/>
      <c r="V26" s="18"/>
      <c r="W26" s="18"/>
      <c r="X26" s="18"/>
      <c r="Y26" s="18"/>
      <c r="Z26" s="43"/>
      <c r="AA26" s="43"/>
      <c r="AB26" s="43"/>
      <c r="AC26" s="43"/>
      <c r="AD26" s="34"/>
    </row>
    <row r="27" spans="1:30">
      <c r="A27" s="14" t="s">
        <v>35</v>
      </c>
      <c r="B27" s="30">
        <v>0</v>
      </c>
      <c r="C27" s="43" t="s">
        <v>5</v>
      </c>
      <c r="D27" s="43" t="s">
        <v>5</v>
      </c>
      <c r="E27" s="43" t="s">
        <v>5</v>
      </c>
      <c r="F27" s="44" t="s">
        <v>5</v>
      </c>
      <c r="G27" s="17">
        <v>0</v>
      </c>
      <c r="H27" s="43" t="s">
        <v>5</v>
      </c>
      <c r="I27" s="43" t="s">
        <v>5</v>
      </c>
      <c r="J27" s="43" t="s">
        <v>5</v>
      </c>
      <c r="K27" s="44" t="s">
        <v>5</v>
      </c>
      <c r="L27" s="17">
        <v>3</v>
      </c>
      <c r="M27" s="43">
        <v>2.3266666666666662</v>
      </c>
      <c r="N27" s="43">
        <v>2.5399999999999996</v>
      </c>
      <c r="O27" s="43">
        <v>1.93</v>
      </c>
      <c r="P27" s="44">
        <v>0.3438507428134106</v>
      </c>
      <c r="R27" s="6"/>
      <c r="S27" s="6"/>
      <c r="T27" s="6"/>
      <c r="U27" s="6"/>
      <c r="V27" s="6"/>
      <c r="W27" s="6"/>
      <c r="X27" s="6"/>
      <c r="Y27" s="6"/>
      <c r="Z27" s="18"/>
      <c r="AA27" s="18"/>
      <c r="AB27" s="18"/>
      <c r="AC27" s="18"/>
      <c r="AD27" s="34"/>
    </row>
    <row r="28" spans="1:30">
      <c r="A28" s="19" t="s">
        <v>19</v>
      </c>
      <c r="B28" s="32">
        <v>40</v>
      </c>
      <c r="C28" s="58">
        <v>3.9758240000000002</v>
      </c>
      <c r="D28" s="58">
        <v>5.559552</v>
      </c>
      <c r="E28" s="58">
        <v>3.2004000000000001</v>
      </c>
      <c r="F28" s="59">
        <v>0.71628540569990284</v>
      </c>
      <c r="G28" s="13">
        <v>21</v>
      </c>
      <c r="H28" s="47" t="s">
        <v>39</v>
      </c>
      <c r="I28" s="47" t="s">
        <v>39</v>
      </c>
      <c r="J28" s="47" t="s">
        <v>39</v>
      </c>
      <c r="K28" s="48" t="s">
        <v>39</v>
      </c>
      <c r="L28" s="13">
        <v>0</v>
      </c>
      <c r="M28" s="47" t="s">
        <v>39</v>
      </c>
      <c r="N28" s="47" t="s">
        <v>39</v>
      </c>
      <c r="O28" s="47" t="s">
        <v>39</v>
      </c>
      <c r="P28" s="48" t="s">
        <v>39</v>
      </c>
      <c r="R28" s="17"/>
      <c r="S28" s="17"/>
      <c r="T28" s="17"/>
      <c r="U28" s="18"/>
      <c r="V28" s="17"/>
      <c r="W28" s="17"/>
      <c r="X28" s="17"/>
      <c r="Y28" s="18"/>
      <c r="Z28" s="17"/>
      <c r="AA28" s="17"/>
      <c r="AB28" s="17"/>
      <c r="AC28" s="18"/>
      <c r="AD28" s="34"/>
    </row>
    <row r="29" spans="1:30">
      <c r="A29" s="16"/>
      <c r="B29" s="17"/>
      <c r="C29" s="17"/>
      <c r="D29" s="17"/>
      <c r="E29" s="18"/>
      <c r="F29" s="17"/>
      <c r="G29" s="17"/>
      <c r="H29" s="17"/>
      <c r="I29" s="18"/>
      <c r="J29" s="17"/>
      <c r="K29" s="17"/>
      <c r="L29" s="17"/>
      <c r="M29" s="18"/>
      <c r="N29" s="17"/>
      <c r="O29" s="17"/>
      <c r="P29" s="17"/>
      <c r="Q29" s="18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</row>
    <row r="30" spans="1:30"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</row>
    <row r="31" spans="1:30">
      <c r="A31" s="20"/>
      <c r="B31" s="70">
        <v>2005</v>
      </c>
      <c r="C31" s="70"/>
      <c r="D31" s="70"/>
      <c r="E31" s="11"/>
      <c r="F31" s="70">
        <v>2006</v>
      </c>
      <c r="G31" s="70"/>
      <c r="H31" s="70"/>
      <c r="I31" s="11"/>
      <c r="J31" s="70">
        <v>2008</v>
      </c>
      <c r="K31" s="70"/>
      <c r="L31" s="70"/>
      <c r="N31" s="50" t="s">
        <v>29</v>
      </c>
      <c r="O31" s="51" t="s">
        <v>31</v>
      </c>
      <c r="P31" s="52"/>
      <c r="Q31" s="52"/>
      <c r="R31" s="52"/>
      <c r="S31" s="52"/>
      <c r="T31" s="53"/>
      <c r="U31" s="17"/>
      <c r="V31" s="17"/>
    </row>
    <row r="32" spans="1:30">
      <c r="A32" s="20" t="s">
        <v>0</v>
      </c>
      <c r="B32" s="21" t="s">
        <v>20</v>
      </c>
      <c r="C32" s="21" t="s">
        <v>21</v>
      </c>
      <c r="D32" s="21" t="s">
        <v>22</v>
      </c>
      <c r="E32" s="11"/>
      <c r="F32" s="35" t="s">
        <v>20</v>
      </c>
      <c r="G32" s="35" t="s">
        <v>21</v>
      </c>
      <c r="H32" s="21" t="s">
        <v>22</v>
      </c>
      <c r="I32" s="11"/>
      <c r="J32" s="35" t="s">
        <v>20</v>
      </c>
      <c r="K32" s="35" t="s">
        <v>21</v>
      </c>
      <c r="L32" s="21" t="s">
        <v>22</v>
      </c>
      <c r="O32" s="60" t="s">
        <v>45</v>
      </c>
      <c r="P32" s="61"/>
      <c r="Q32" s="61"/>
      <c r="R32" s="61"/>
      <c r="S32" s="61"/>
      <c r="T32" s="62"/>
      <c r="U32" s="17"/>
      <c r="V32" s="17"/>
    </row>
    <row r="33" spans="1:22">
      <c r="A33" s="20" t="s">
        <v>6</v>
      </c>
      <c r="B33" s="22">
        <v>38495</v>
      </c>
      <c r="C33" s="23">
        <v>38651</v>
      </c>
      <c r="D33" s="41">
        <v>1</v>
      </c>
      <c r="E33" s="11"/>
      <c r="F33" s="25" t="s">
        <v>39</v>
      </c>
      <c r="G33" s="27" t="s">
        <v>39</v>
      </c>
      <c r="H33" s="24">
        <v>1</v>
      </c>
      <c r="I33" s="11"/>
      <c r="J33" s="25" t="s">
        <v>39</v>
      </c>
      <c r="K33" s="27" t="s">
        <v>39</v>
      </c>
      <c r="L33" s="24">
        <v>0</v>
      </c>
      <c r="O33" s="54" t="s">
        <v>30</v>
      </c>
      <c r="P33" s="55"/>
      <c r="Q33" s="55"/>
      <c r="R33" s="55"/>
      <c r="S33" s="55"/>
      <c r="T33" s="56"/>
      <c r="U33" s="17"/>
      <c r="V33" s="17"/>
    </row>
    <row r="34" spans="1:22">
      <c r="A34" s="20" t="s">
        <v>7</v>
      </c>
      <c r="B34" s="25">
        <v>38495</v>
      </c>
      <c r="C34" s="26">
        <v>38670</v>
      </c>
      <c r="D34" s="8">
        <v>1</v>
      </c>
      <c r="E34" s="11"/>
      <c r="F34" s="25" t="s">
        <v>39</v>
      </c>
      <c r="G34" s="27" t="s">
        <v>39</v>
      </c>
      <c r="H34" s="8">
        <v>0</v>
      </c>
      <c r="I34" s="11"/>
      <c r="J34" s="25" t="s">
        <v>39</v>
      </c>
      <c r="K34" s="27" t="s">
        <v>39</v>
      </c>
      <c r="L34" s="28">
        <v>0</v>
      </c>
    </row>
    <row r="35" spans="1:22">
      <c r="A35" s="20" t="s">
        <v>8</v>
      </c>
      <c r="B35" s="25">
        <v>38495</v>
      </c>
      <c r="C35" s="26">
        <v>38651</v>
      </c>
      <c r="D35" s="8">
        <v>2</v>
      </c>
      <c r="E35" s="11"/>
      <c r="F35" s="25" t="s">
        <v>39</v>
      </c>
      <c r="G35" s="27" t="s">
        <v>39</v>
      </c>
      <c r="H35" s="8">
        <v>2</v>
      </c>
      <c r="I35" s="11"/>
      <c r="J35" s="25" t="s">
        <v>39</v>
      </c>
      <c r="K35" s="27" t="s">
        <v>39</v>
      </c>
      <c r="L35" s="8">
        <v>0</v>
      </c>
    </row>
    <row r="36" spans="1:22">
      <c r="A36" s="20" t="s">
        <v>9</v>
      </c>
      <c r="B36" s="36">
        <v>38513</v>
      </c>
      <c r="C36" s="26">
        <v>38651</v>
      </c>
      <c r="D36" s="8">
        <v>6</v>
      </c>
      <c r="E36" s="11"/>
      <c r="F36" s="25">
        <v>38852</v>
      </c>
      <c r="G36" s="27">
        <v>38933</v>
      </c>
      <c r="H36" s="8">
        <v>2</v>
      </c>
      <c r="I36" s="11"/>
      <c r="J36" s="25" t="s">
        <v>39</v>
      </c>
      <c r="K36" s="27" t="s">
        <v>39</v>
      </c>
      <c r="L36" s="8">
        <v>0</v>
      </c>
    </row>
    <row r="37" spans="1:22">
      <c r="A37" s="20" t="s">
        <v>32</v>
      </c>
      <c r="B37" s="25" t="s">
        <v>39</v>
      </c>
      <c r="C37" s="27" t="s">
        <v>39</v>
      </c>
      <c r="D37" s="8">
        <v>0</v>
      </c>
      <c r="E37" s="11"/>
      <c r="F37" s="25" t="s">
        <v>39</v>
      </c>
      <c r="G37" s="27" t="s">
        <v>39</v>
      </c>
      <c r="H37" s="8">
        <v>0</v>
      </c>
      <c r="I37" s="11"/>
      <c r="J37" s="25">
        <v>39605</v>
      </c>
      <c r="K37" s="27">
        <v>39731</v>
      </c>
      <c r="L37" s="8">
        <v>1</v>
      </c>
    </row>
    <row r="38" spans="1:22">
      <c r="A38" s="20" t="s">
        <v>33</v>
      </c>
      <c r="B38" s="25" t="s">
        <v>39</v>
      </c>
      <c r="C38" s="27" t="s">
        <v>39</v>
      </c>
      <c r="D38" s="8">
        <v>0</v>
      </c>
      <c r="E38" s="11"/>
      <c r="F38" s="25" t="s">
        <v>39</v>
      </c>
      <c r="G38" s="27" t="s">
        <v>39</v>
      </c>
      <c r="H38" s="8">
        <v>0</v>
      </c>
      <c r="I38" s="11"/>
      <c r="J38" s="25">
        <v>39605</v>
      </c>
      <c r="K38" s="27">
        <v>39731</v>
      </c>
      <c r="L38" s="8">
        <v>1</v>
      </c>
    </row>
    <row r="39" spans="1:22">
      <c r="A39" s="20" t="s">
        <v>10</v>
      </c>
      <c r="B39" s="25">
        <v>38495</v>
      </c>
      <c r="C39" s="26">
        <v>38651</v>
      </c>
      <c r="D39" s="31">
        <v>2</v>
      </c>
      <c r="E39" s="11"/>
      <c r="F39" s="25">
        <v>38869</v>
      </c>
      <c r="G39" s="27">
        <v>38933</v>
      </c>
      <c r="H39" s="8">
        <v>2</v>
      </c>
      <c r="I39" s="11"/>
      <c r="J39" s="25">
        <v>39605</v>
      </c>
      <c r="K39" s="27">
        <v>39745</v>
      </c>
      <c r="L39" s="8">
        <v>0</v>
      </c>
    </row>
    <row r="40" spans="1:22">
      <c r="A40" s="20" t="s">
        <v>11</v>
      </c>
      <c r="B40" s="25">
        <v>38492</v>
      </c>
      <c r="C40" s="27">
        <v>38651</v>
      </c>
      <c r="D40" s="8">
        <v>3</v>
      </c>
      <c r="E40" s="11"/>
      <c r="F40" s="25">
        <v>38852</v>
      </c>
      <c r="G40" s="27">
        <v>38933</v>
      </c>
      <c r="H40" s="8">
        <v>3</v>
      </c>
      <c r="I40" s="11"/>
      <c r="J40" s="25" t="s">
        <v>39</v>
      </c>
      <c r="K40" s="27" t="s">
        <v>39</v>
      </c>
      <c r="L40" s="8">
        <v>0</v>
      </c>
    </row>
    <row r="41" spans="1:22">
      <c r="A41" s="20" t="s">
        <v>12</v>
      </c>
      <c r="B41" s="25">
        <v>38492</v>
      </c>
      <c r="C41" s="27">
        <v>38651</v>
      </c>
      <c r="D41" s="8">
        <v>3</v>
      </c>
      <c r="E41" s="11"/>
      <c r="F41" s="25">
        <v>38852</v>
      </c>
      <c r="G41" s="27">
        <v>38933</v>
      </c>
      <c r="H41" s="8">
        <v>3</v>
      </c>
      <c r="I41" s="11"/>
      <c r="J41" s="25" t="s">
        <v>39</v>
      </c>
      <c r="K41" s="27" t="s">
        <v>39</v>
      </c>
      <c r="L41" s="8">
        <v>0</v>
      </c>
    </row>
    <row r="42" spans="1:22">
      <c r="A42" s="20" t="s">
        <v>13</v>
      </c>
      <c r="B42" s="25">
        <v>38495</v>
      </c>
      <c r="C42" s="26">
        <v>38651</v>
      </c>
      <c r="D42" s="8">
        <v>4</v>
      </c>
      <c r="E42" s="11"/>
      <c r="F42" s="25">
        <v>38852</v>
      </c>
      <c r="G42" s="27">
        <v>38933</v>
      </c>
      <c r="H42" s="8">
        <v>4</v>
      </c>
      <c r="I42" s="11"/>
      <c r="J42" s="25">
        <v>39700</v>
      </c>
      <c r="K42" s="27">
        <v>39729</v>
      </c>
      <c r="L42" s="8">
        <v>4</v>
      </c>
    </row>
    <row r="43" spans="1:22">
      <c r="A43" s="20" t="s">
        <v>14</v>
      </c>
      <c r="B43" s="25">
        <v>38506</v>
      </c>
      <c r="C43" s="27">
        <v>38651</v>
      </c>
      <c r="D43" s="8">
        <v>13</v>
      </c>
      <c r="E43" s="11"/>
      <c r="F43" s="25">
        <v>38852</v>
      </c>
      <c r="G43" s="27">
        <v>38933</v>
      </c>
      <c r="H43" s="8">
        <v>13</v>
      </c>
      <c r="I43" s="11"/>
      <c r="J43" s="25" t="s">
        <v>39</v>
      </c>
      <c r="K43" s="27" t="s">
        <v>39</v>
      </c>
      <c r="L43" s="8">
        <v>0</v>
      </c>
    </row>
    <row r="44" spans="1:22">
      <c r="A44" s="20" t="s">
        <v>15</v>
      </c>
      <c r="B44" s="25">
        <v>38495</v>
      </c>
      <c r="C44" s="26">
        <v>38651</v>
      </c>
      <c r="D44" s="8">
        <v>6</v>
      </c>
      <c r="E44" s="11"/>
      <c r="F44" s="36">
        <v>38852</v>
      </c>
      <c r="G44" s="29">
        <v>38934</v>
      </c>
      <c r="H44" s="8">
        <v>6</v>
      </c>
      <c r="I44" s="11"/>
      <c r="J44" s="25" t="s">
        <v>39</v>
      </c>
      <c r="K44" s="27" t="s">
        <v>39</v>
      </c>
      <c r="L44" s="8">
        <v>0</v>
      </c>
    </row>
    <row r="45" spans="1:22">
      <c r="A45" s="20" t="s">
        <v>16</v>
      </c>
      <c r="B45" s="25">
        <v>38497</v>
      </c>
      <c r="C45" s="26">
        <v>38651</v>
      </c>
      <c r="D45" s="8">
        <v>7</v>
      </c>
      <c r="E45" s="11"/>
      <c r="F45" s="25">
        <v>38869</v>
      </c>
      <c r="G45" s="27">
        <v>38933</v>
      </c>
      <c r="H45" s="8">
        <v>7</v>
      </c>
      <c r="I45" s="11"/>
      <c r="J45" s="25">
        <v>39609</v>
      </c>
      <c r="K45" s="29">
        <v>39729</v>
      </c>
      <c r="L45" s="8">
        <v>7</v>
      </c>
    </row>
    <row r="46" spans="1:22">
      <c r="A46" t="s">
        <v>41</v>
      </c>
      <c r="B46" s="25">
        <v>38492</v>
      </c>
      <c r="C46" s="26">
        <v>38651</v>
      </c>
      <c r="D46" s="8">
        <v>2</v>
      </c>
      <c r="E46" s="11"/>
      <c r="F46" s="36">
        <v>38852</v>
      </c>
      <c r="G46" s="38">
        <v>38926</v>
      </c>
      <c r="H46" s="8">
        <v>2</v>
      </c>
      <c r="I46" s="9"/>
      <c r="J46" s="36">
        <v>39609</v>
      </c>
      <c r="K46" s="38">
        <v>39743</v>
      </c>
      <c r="L46" s="8">
        <v>2</v>
      </c>
    </row>
    <row r="47" spans="1:22">
      <c r="A47" t="s">
        <v>42</v>
      </c>
      <c r="B47" s="25">
        <v>38492</v>
      </c>
      <c r="C47" s="26">
        <v>38651</v>
      </c>
      <c r="D47" s="8">
        <v>2</v>
      </c>
      <c r="E47" s="11"/>
      <c r="F47" s="36">
        <v>38852</v>
      </c>
      <c r="G47" s="38">
        <v>38926</v>
      </c>
      <c r="H47" s="8">
        <v>2</v>
      </c>
      <c r="I47" s="9"/>
      <c r="J47" s="36">
        <v>39609</v>
      </c>
      <c r="K47" s="38">
        <v>39743</v>
      </c>
      <c r="L47" s="8">
        <v>2</v>
      </c>
    </row>
    <row r="48" spans="1:22">
      <c r="A48" s="20" t="s">
        <v>17</v>
      </c>
      <c r="B48" s="25" t="s">
        <v>5</v>
      </c>
      <c r="C48" s="26" t="s">
        <v>5</v>
      </c>
      <c r="D48" s="31">
        <v>0</v>
      </c>
      <c r="E48" s="11"/>
      <c r="F48" s="25" t="s">
        <v>5</v>
      </c>
      <c r="G48" s="27" t="s">
        <v>5</v>
      </c>
      <c r="H48" s="8">
        <v>0</v>
      </c>
      <c r="I48" s="11"/>
      <c r="J48" s="25">
        <v>39673</v>
      </c>
      <c r="K48" s="29">
        <v>39743</v>
      </c>
      <c r="L48" s="8">
        <v>4</v>
      </c>
    </row>
    <row r="49" spans="1:12">
      <c r="A49" s="20" t="s">
        <v>18</v>
      </c>
      <c r="B49" s="30" t="s">
        <v>5</v>
      </c>
      <c r="C49" s="17" t="s">
        <v>5</v>
      </c>
      <c r="D49" s="31">
        <v>0</v>
      </c>
      <c r="E49" s="11"/>
      <c r="F49" s="30" t="s">
        <v>5</v>
      </c>
      <c r="G49" s="17" t="s">
        <v>5</v>
      </c>
      <c r="H49" s="31">
        <v>0</v>
      </c>
      <c r="I49" s="11"/>
      <c r="J49" s="39">
        <v>39701</v>
      </c>
      <c r="K49" s="40">
        <v>39745</v>
      </c>
      <c r="L49" s="31">
        <v>3</v>
      </c>
    </row>
    <row r="50" spans="1:12">
      <c r="A50" s="20" t="s">
        <v>34</v>
      </c>
      <c r="B50" s="30" t="s">
        <v>5</v>
      </c>
      <c r="C50" s="17" t="s">
        <v>5</v>
      </c>
      <c r="D50" s="31">
        <v>0</v>
      </c>
      <c r="E50" s="11"/>
      <c r="F50" s="30" t="s">
        <v>5</v>
      </c>
      <c r="G50" s="17" t="s">
        <v>5</v>
      </c>
      <c r="H50" s="31">
        <v>0</v>
      </c>
      <c r="I50" s="11"/>
      <c r="J50" s="39">
        <v>39701</v>
      </c>
      <c r="K50" s="40">
        <v>39745</v>
      </c>
      <c r="L50" s="31">
        <v>1</v>
      </c>
    </row>
    <row r="51" spans="1:12">
      <c r="A51" t="s">
        <v>36</v>
      </c>
      <c r="B51" s="30" t="s">
        <v>5</v>
      </c>
      <c r="C51" s="17" t="s">
        <v>5</v>
      </c>
      <c r="D51" s="31">
        <v>0</v>
      </c>
      <c r="E51" s="11"/>
      <c r="F51" s="25" t="s">
        <v>5</v>
      </c>
      <c r="G51" s="27" t="s">
        <v>5</v>
      </c>
      <c r="H51" s="8">
        <v>0</v>
      </c>
      <c r="I51" s="11"/>
      <c r="J51" s="25">
        <v>39671</v>
      </c>
      <c r="K51" s="27">
        <v>39671</v>
      </c>
      <c r="L51" s="8">
        <v>1</v>
      </c>
    </row>
    <row r="52" spans="1:12">
      <c r="A52" t="s">
        <v>35</v>
      </c>
      <c r="B52" s="30" t="s">
        <v>5</v>
      </c>
      <c r="C52" s="17" t="s">
        <v>5</v>
      </c>
      <c r="D52" s="31">
        <v>0</v>
      </c>
      <c r="E52" s="11"/>
      <c r="F52" s="25" t="s">
        <v>5</v>
      </c>
      <c r="G52" s="27" t="s">
        <v>5</v>
      </c>
      <c r="H52" s="8">
        <v>0</v>
      </c>
      <c r="I52" s="11"/>
      <c r="J52" s="25">
        <v>39671</v>
      </c>
      <c r="K52" s="27">
        <v>39671</v>
      </c>
      <c r="L52" s="8">
        <v>3</v>
      </c>
    </row>
    <row r="53" spans="1:12">
      <c r="A53" t="s">
        <v>19</v>
      </c>
      <c r="B53" s="63">
        <v>38506</v>
      </c>
      <c r="C53" s="64">
        <v>38651</v>
      </c>
      <c r="D53" s="33">
        <v>4</v>
      </c>
      <c r="F53" s="63" t="s">
        <v>39</v>
      </c>
      <c r="G53" s="64" t="s">
        <v>39</v>
      </c>
      <c r="H53" s="33">
        <v>4</v>
      </c>
      <c r="J53" s="63" t="s">
        <v>39</v>
      </c>
      <c r="K53" s="64" t="s">
        <v>39</v>
      </c>
      <c r="L53" s="33">
        <v>0</v>
      </c>
    </row>
    <row r="55" spans="1:12">
      <c r="A55" s="34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</row>
  </sheetData>
  <mergeCells count="7">
    <mergeCell ref="A3:C3"/>
    <mergeCell ref="B31:D31"/>
    <mergeCell ref="F31:H31"/>
    <mergeCell ref="J31:L31"/>
    <mergeCell ref="L6:P6"/>
    <mergeCell ref="G6:K6"/>
    <mergeCell ref="B6:F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3:V53"/>
  <sheetViews>
    <sheetView topLeftCell="A16" workbookViewId="0">
      <selection activeCell="O36" sqref="O36"/>
    </sheetView>
  </sheetViews>
  <sheetFormatPr defaultColWidth="12.7109375" defaultRowHeight="15"/>
  <cols>
    <col min="8" max="8" width="13.85546875" customWidth="1"/>
  </cols>
  <sheetData>
    <row r="3" spans="1:17">
      <c r="A3" s="67" t="s">
        <v>38</v>
      </c>
      <c r="B3" s="68"/>
      <c r="C3" s="69"/>
    </row>
    <row r="4" spans="1:17">
      <c r="A4" t="s">
        <v>23</v>
      </c>
    </row>
    <row r="5" spans="1:17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42"/>
      <c r="O5" s="42"/>
      <c r="P5" s="42"/>
      <c r="Q5" s="42"/>
    </row>
    <row r="6" spans="1:17">
      <c r="A6" s="3"/>
      <c r="B6" s="71">
        <v>2005</v>
      </c>
      <c r="C6" s="72"/>
      <c r="D6" s="72"/>
      <c r="E6" s="72"/>
      <c r="F6" s="73"/>
      <c r="G6" s="71">
        <v>2006</v>
      </c>
      <c r="H6" s="72"/>
      <c r="I6" s="72"/>
      <c r="J6" s="72"/>
      <c r="K6" s="73"/>
      <c r="L6" s="71">
        <v>2008</v>
      </c>
      <c r="M6" s="72"/>
      <c r="N6" s="72"/>
      <c r="O6" s="72"/>
      <c r="P6" s="73"/>
      <c r="Q6" s="34"/>
    </row>
    <row r="7" spans="1:17">
      <c r="A7" s="3" t="s">
        <v>0</v>
      </c>
      <c r="B7" s="5" t="s">
        <v>24</v>
      </c>
      <c r="C7" s="4" t="s">
        <v>1</v>
      </c>
      <c r="D7" s="5" t="s">
        <v>2</v>
      </c>
      <c r="E7" s="5" t="s">
        <v>3</v>
      </c>
      <c r="F7" s="5" t="s">
        <v>4</v>
      </c>
      <c r="G7" s="5" t="s">
        <v>24</v>
      </c>
      <c r="H7" s="5" t="s">
        <v>1</v>
      </c>
      <c r="I7" s="5" t="s">
        <v>2</v>
      </c>
      <c r="J7" s="5" t="s">
        <v>3</v>
      </c>
      <c r="K7" s="5" t="s">
        <v>4</v>
      </c>
      <c r="L7" s="5" t="s">
        <v>24</v>
      </c>
      <c r="M7" s="5" t="s">
        <v>1</v>
      </c>
      <c r="N7" s="5" t="s">
        <v>2</v>
      </c>
      <c r="O7" s="5" t="s">
        <v>3</v>
      </c>
      <c r="P7" s="5" t="s">
        <v>4</v>
      </c>
      <c r="Q7" s="34"/>
    </row>
    <row r="8" spans="1:17">
      <c r="A8" s="14" t="s">
        <v>6</v>
      </c>
      <c r="B8" s="30">
        <v>0</v>
      </c>
      <c r="C8" s="43" t="s">
        <v>28</v>
      </c>
      <c r="D8" s="43" t="s">
        <v>25</v>
      </c>
      <c r="E8" s="43" t="s">
        <v>25</v>
      </c>
      <c r="F8" s="44" t="s">
        <v>25</v>
      </c>
      <c r="G8" s="17">
        <v>0</v>
      </c>
      <c r="H8" s="43" t="s">
        <v>44</v>
      </c>
      <c r="I8" s="43" t="s">
        <v>39</v>
      </c>
      <c r="J8" s="43" t="s">
        <v>39</v>
      </c>
      <c r="K8" s="44" t="s">
        <v>39</v>
      </c>
      <c r="L8" s="17">
        <v>0</v>
      </c>
      <c r="M8" s="43" t="s">
        <v>39</v>
      </c>
      <c r="N8" s="43" t="s">
        <v>39</v>
      </c>
      <c r="O8" s="43" t="s">
        <v>39</v>
      </c>
      <c r="P8" s="44" t="s">
        <v>39</v>
      </c>
    </row>
    <row r="9" spans="1:17">
      <c r="A9" s="14" t="s">
        <v>7</v>
      </c>
      <c r="B9" s="30">
        <v>14</v>
      </c>
      <c r="C9" s="43">
        <f>646.428571428571*(1/1000)</f>
        <v>0.64642857142857102</v>
      </c>
      <c r="D9" s="43">
        <f>749*(1/1000)</f>
        <v>0.749</v>
      </c>
      <c r="E9" s="43">
        <f>460*(1/1000)</f>
        <v>0.46</v>
      </c>
      <c r="F9" s="44">
        <f>84.6183416066736*(1/1000)</f>
        <v>8.46183416066736E-2</v>
      </c>
      <c r="G9" s="17">
        <v>0</v>
      </c>
      <c r="H9" s="43" t="s">
        <v>39</v>
      </c>
      <c r="I9" s="43" t="s">
        <v>39</v>
      </c>
      <c r="J9" s="43" t="s">
        <v>39</v>
      </c>
      <c r="K9" s="44" t="s">
        <v>39</v>
      </c>
      <c r="L9" s="17">
        <v>0</v>
      </c>
      <c r="M9" s="43" t="s">
        <v>39</v>
      </c>
      <c r="N9" s="43" t="s">
        <v>39</v>
      </c>
      <c r="O9" s="43" t="s">
        <v>39</v>
      </c>
      <c r="P9" s="44" t="s">
        <v>39</v>
      </c>
    </row>
    <row r="10" spans="1:17">
      <c r="A10" s="14" t="s">
        <v>8</v>
      </c>
      <c r="B10" s="30">
        <v>26</v>
      </c>
      <c r="C10" s="45">
        <f>2351.375*(1/1000)</f>
        <v>2.351375</v>
      </c>
      <c r="D10" s="45">
        <f>4106*(1/1000)</f>
        <v>4.1059999999999999</v>
      </c>
      <c r="E10" s="45">
        <f>1052*(1/1000)</f>
        <v>1.052</v>
      </c>
      <c r="F10" s="46">
        <f>853.179058249077*(1/1000)</f>
        <v>0.85317905824907703</v>
      </c>
      <c r="G10" s="17">
        <v>18</v>
      </c>
      <c r="H10" s="43" t="s">
        <v>39</v>
      </c>
      <c r="I10" s="43" t="s">
        <v>39</v>
      </c>
      <c r="J10" s="43" t="s">
        <v>39</v>
      </c>
      <c r="K10" s="44" t="s">
        <v>39</v>
      </c>
      <c r="L10" s="17">
        <v>0</v>
      </c>
      <c r="M10" s="43" t="s">
        <v>39</v>
      </c>
      <c r="N10" s="43" t="s">
        <v>39</v>
      </c>
      <c r="O10" s="43" t="s">
        <v>39</v>
      </c>
      <c r="P10" s="44" t="s">
        <v>39</v>
      </c>
    </row>
    <row r="11" spans="1:17">
      <c r="A11" s="14" t="s">
        <v>9</v>
      </c>
      <c r="B11" s="30">
        <v>71</v>
      </c>
      <c r="C11" s="45">
        <f>2179.62820512821*(1/1000)</f>
        <v>2.1796282051282101</v>
      </c>
      <c r="D11" s="45">
        <f>6590*(1/1000)</f>
        <v>6.59</v>
      </c>
      <c r="E11" s="45">
        <f>840*(1/1000)</f>
        <v>0.84</v>
      </c>
      <c r="F11" s="46">
        <f>892.213506086215*(1/1000)</f>
        <v>0.89221350608621508</v>
      </c>
      <c r="G11" s="17">
        <v>22</v>
      </c>
      <c r="H11" s="45">
        <f>2048.95454545455*(1/1000)</f>
        <v>2.0489545454545501</v>
      </c>
      <c r="I11" s="45">
        <f>2351*(1/1000)</f>
        <v>2.351</v>
      </c>
      <c r="J11" s="45">
        <f>1860*(1/1000)</f>
        <v>1.86</v>
      </c>
      <c r="K11" s="46">
        <f>116.236408226521*(1/1000)</f>
        <v>0.116236408226521</v>
      </c>
      <c r="L11" s="17">
        <v>0</v>
      </c>
      <c r="M11" s="43" t="s">
        <v>39</v>
      </c>
      <c r="N11" s="43" t="s">
        <v>39</v>
      </c>
      <c r="O11" s="43" t="s">
        <v>39</v>
      </c>
      <c r="P11" s="44" t="s">
        <v>39</v>
      </c>
    </row>
    <row r="12" spans="1:17">
      <c r="A12" s="14" t="s">
        <v>32</v>
      </c>
      <c r="B12" s="30">
        <v>0</v>
      </c>
      <c r="C12" s="43" t="s">
        <v>39</v>
      </c>
      <c r="D12" s="43" t="s">
        <v>39</v>
      </c>
      <c r="E12" s="43" t="s">
        <v>39</v>
      </c>
      <c r="F12" s="44" t="s">
        <v>39</v>
      </c>
      <c r="G12" s="17">
        <v>0</v>
      </c>
      <c r="H12" s="43" t="s">
        <v>39</v>
      </c>
      <c r="I12" s="43" t="s">
        <v>39</v>
      </c>
      <c r="J12" s="43" t="s">
        <v>39</v>
      </c>
      <c r="K12" s="44" t="s">
        <v>39</v>
      </c>
      <c r="L12" s="17">
        <v>4</v>
      </c>
      <c r="M12" s="45">
        <f>2288.75*(1/1000)</f>
        <v>2.2887499999999998</v>
      </c>
      <c r="N12" s="45">
        <f>2437*(1/1000)</f>
        <v>2.4369999999999998</v>
      </c>
      <c r="O12" s="45">
        <f>2151*(1/1000)</f>
        <v>2.1510000000000002</v>
      </c>
      <c r="P12" s="46">
        <f>145.22253039158*(1/1000)</f>
        <v>0.14522253039158001</v>
      </c>
    </row>
    <row r="13" spans="1:17">
      <c r="A13" s="14" t="s">
        <v>33</v>
      </c>
      <c r="B13" s="30">
        <v>0</v>
      </c>
      <c r="C13" s="43" t="s">
        <v>39</v>
      </c>
      <c r="D13" s="43" t="s">
        <v>39</v>
      </c>
      <c r="E13" s="43" t="s">
        <v>39</v>
      </c>
      <c r="F13" s="44" t="s">
        <v>39</v>
      </c>
      <c r="G13" s="17">
        <v>0</v>
      </c>
      <c r="H13" s="43" t="s">
        <v>39</v>
      </c>
      <c r="I13" s="43" t="s">
        <v>39</v>
      </c>
      <c r="J13" s="43" t="s">
        <v>39</v>
      </c>
      <c r="K13" s="44" t="s">
        <v>39</v>
      </c>
      <c r="L13" s="17">
        <v>4</v>
      </c>
      <c r="M13" s="45">
        <f>2875.75*(1/1000)</f>
        <v>2.87575</v>
      </c>
      <c r="N13" s="45">
        <f>4158*(1/1000)</f>
        <v>4.1580000000000004</v>
      </c>
      <c r="O13" s="45">
        <f>1903*(1/1000)</f>
        <v>1.903</v>
      </c>
      <c r="P13" s="46">
        <f>1032.81214006549*(1/1000)</f>
        <v>1.0328121400654899</v>
      </c>
    </row>
    <row r="14" spans="1:17">
      <c r="A14" s="14" t="s">
        <v>10</v>
      </c>
      <c r="B14" s="30">
        <v>1</v>
      </c>
      <c r="C14" s="43">
        <f>1176*(1/1000)</f>
        <v>1.1759999999999999</v>
      </c>
      <c r="D14" s="43">
        <f>1176*(1/1000)</f>
        <v>1.1759999999999999</v>
      </c>
      <c r="E14" s="43">
        <f>1176*(1/1000)</f>
        <v>1.1759999999999999</v>
      </c>
      <c r="F14" s="44" t="s">
        <v>27</v>
      </c>
      <c r="G14" s="17">
        <v>0</v>
      </c>
      <c r="H14" s="43" t="s">
        <v>25</v>
      </c>
      <c r="I14" s="43" t="s">
        <v>25</v>
      </c>
      <c r="J14" s="43" t="s">
        <v>25</v>
      </c>
      <c r="K14" s="44" t="s">
        <v>25</v>
      </c>
      <c r="L14" s="17">
        <v>12</v>
      </c>
      <c r="M14" s="45">
        <f>1708*(1/1000)</f>
        <v>1.708</v>
      </c>
      <c r="N14" s="45">
        <f>2705*(1/1000)</f>
        <v>2.7050000000000001</v>
      </c>
      <c r="O14" s="45">
        <f>978*(1/1000)</f>
        <v>0.97799999999999998</v>
      </c>
      <c r="P14" s="46">
        <f>715.217068130686*(1/1000)</f>
        <v>0.71521706813068608</v>
      </c>
    </row>
    <row r="15" spans="1:17">
      <c r="A15" s="14" t="s">
        <v>11</v>
      </c>
      <c r="B15" s="30">
        <v>43</v>
      </c>
      <c r="C15" s="45">
        <f>1542.65555555556*(1/1000)</f>
        <v>1.5426555555555601</v>
      </c>
      <c r="D15" s="45">
        <f>2622*(1/1000)</f>
        <v>2.6219999999999999</v>
      </c>
      <c r="E15" s="45">
        <f>773*(1/1000)</f>
        <v>0.77300000000000002</v>
      </c>
      <c r="F15" s="46">
        <f>480.335293792681*(1/1000)</f>
        <v>0.48033529379268103</v>
      </c>
      <c r="G15" s="17">
        <v>33</v>
      </c>
      <c r="H15" s="45">
        <f>1374.0303030303*(1/1000)</f>
        <v>1.3740303030303</v>
      </c>
      <c r="I15" s="45">
        <f>3046*(1/1000)</f>
        <v>3.0460000000000003</v>
      </c>
      <c r="J15" s="45">
        <f>437*(1/1000)</f>
        <v>0.437</v>
      </c>
      <c r="K15" s="46">
        <f>549.047270554212*(1/1000)</f>
        <v>0.54904727055421199</v>
      </c>
      <c r="L15" s="17">
        <v>0</v>
      </c>
      <c r="M15" s="43" t="s">
        <v>39</v>
      </c>
      <c r="N15" s="43" t="s">
        <v>39</v>
      </c>
      <c r="O15" s="43" t="s">
        <v>39</v>
      </c>
      <c r="P15" s="44" t="s">
        <v>39</v>
      </c>
    </row>
    <row r="16" spans="1:17">
      <c r="A16" s="14" t="s">
        <v>12</v>
      </c>
      <c r="B16" s="30">
        <v>30</v>
      </c>
      <c r="C16" s="45">
        <f>1790.11111111111*(1/1000)</f>
        <v>1.7901111111111099</v>
      </c>
      <c r="D16" s="45">
        <f>2622*(1/1000)</f>
        <v>2.6219999999999999</v>
      </c>
      <c r="E16" s="45">
        <f>800*(1/1000)</f>
        <v>0.8</v>
      </c>
      <c r="F16" s="46">
        <f>555.385528311165*(1/1000)</f>
        <v>0.55538552831116506</v>
      </c>
      <c r="G16" s="17">
        <v>31</v>
      </c>
      <c r="H16" s="45">
        <f>1443.69696969697*(1/1000)</f>
        <v>1.4436969696969699</v>
      </c>
      <c r="I16" s="45">
        <f>3046*(1/1000)</f>
        <v>3.0460000000000003</v>
      </c>
      <c r="J16" s="45">
        <f>870*(1/1000)</f>
        <v>0.87</v>
      </c>
      <c r="K16" s="46">
        <f>532.571008946124*(1/1000)</f>
        <v>0.53257100894612408</v>
      </c>
      <c r="L16" s="17">
        <v>0</v>
      </c>
      <c r="M16" s="43" t="s">
        <v>39</v>
      </c>
      <c r="N16" s="43" t="s">
        <v>39</v>
      </c>
      <c r="O16" s="43" t="s">
        <v>39</v>
      </c>
      <c r="P16" s="44" t="s">
        <v>39</v>
      </c>
    </row>
    <row r="17" spans="1:22">
      <c r="A17" s="14" t="s">
        <v>13</v>
      </c>
      <c r="B17" s="30">
        <v>30</v>
      </c>
      <c r="C17" s="45">
        <f>1139.86666666667*(1/1000)</f>
        <v>1.1398666666666699</v>
      </c>
      <c r="D17" s="45">
        <f>1553*(1/1000)</f>
        <v>1.5529999999999999</v>
      </c>
      <c r="E17" s="45">
        <f>825*(1/1000)</f>
        <v>0.82500000000000007</v>
      </c>
      <c r="F17" s="46">
        <f>210.01177854215*(1/1000)</f>
        <v>0.21001177854215003</v>
      </c>
      <c r="G17" s="17">
        <v>21</v>
      </c>
      <c r="H17" s="45">
        <f>1156.13636363636*(1/1000)</f>
        <v>1.1561363636363602</v>
      </c>
      <c r="I17" s="45">
        <f>1636*(1/1000)</f>
        <v>1.6360000000000001</v>
      </c>
      <c r="J17" s="45">
        <f>965*(1/1000)</f>
        <v>0.96499999999999997</v>
      </c>
      <c r="K17" s="46">
        <f>192.016442748308*(1/1000)</f>
        <v>0.19201644274830801</v>
      </c>
      <c r="L17" s="17">
        <v>4</v>
      </c>
      <c r="M17" s="45">
        <f>974.75*(1/1000)</f>
        <v>0.97475000000000001</v>
      </c>
      <c r="N17" s="45">
        <f>1125*(1/1000)</f>
        <v>1.125</v>
      </c>
      <c r="O17" s="45">
        <f>694*(1/1000)</f>
        <v>0.69400000000000006</v>
      </c>
      <c r="P17" s="46">
        <f>195.713012682686*(1/1000)</f>
        <v>0.19571301268268601</v>
      </c>
    </row>
    <row r="18" spans="1:22">
      <c r="A18" s="14" t="s">
        <v>14</v>
      </c>
      <c r="B18" s="30">
        <v>166</v>
      </c>
      <c r="C18" s="45">
        <f>1572.7904040404*(1/1000)</f>
        <v>1.5727904040404002</v>
      </c>
      <c r="D18" s="45">
        <f>2750*(1/1000)</f>
        <v>2.75</v>
      </c>
      <c r="E18" s="45">
        <f>881*(1/1000)</f>
        <v>0.88100000000000001</v>
      </c>
      <c r="F18" s="46">
        <f>363.842236442322*(1/1000)</f>
        <v>0.36384223644232205</v>
      </c>
      <c r="G18" s="17">
        <v>124</v>
      </c>
      <c r="H18" s="45">
        <f>1690.20512947658*(1/1000)</f>
        <v>1.6902051294765801</v>
      </c>
      <c r="I18" s="45">
        <f>2587*(1/1000)</f>
        <v>2.5870000000000002</v>
      </c>
      <c r="J18" s="45">
        <f>15.64*(1/1000)</f>
        <v>1.5640000000000001E-2</v>
      </c>
      <c r="K18" s="46">
        <f>407.261118716933*(1/1000)</f>
        <v>0.40726111871693305</v>
      </c>
      <c r="L18" s="17">
        <v>0</v>
      </c>
      <c r="M18" s="43" t="s">
        <v>39</v>
      </c>
      <c r="N18" s="43" t="s">
        <v>39</v>
      </c>
      <c r="O18" s="43" t="s">
        <v>39</v>
      </c>
      <c r="P18" s="44" t="s">
        <v>39</v>
      </c>
    </row>
    <row r="19" spans="1:22">
      <c r="A19" s="14" t="s">
        <v>15</v>
      </c>
      <c r="B19" s="30">
        <v>55</v>
      </c>
      <c r="C19" s="45">
        <f>6024.42777777778*(1/1000)</f>
        <v>6.0244277777777802</v>
      </c>
      <c r="D19" s="45">
        <f>16950*(1/1000)</f>
        <v>16.95</v>
      </c>
      <c r="E19" s="45">
        <f>1190*(1/1000)</f>
        <v>1.19</v>
      </c>
      <c r="F19" s="46">
        <f>3845.66489826718*(1/1000)</f>
        <v>3.8456648982671799</v>
      </c>
      <c r="G19" s="17">
        <v>42</v>
      </c>
      <c r="H19" s="45">
        <f>6290.73484848485*(1/1000)</f>
        <v>6.29073484848485</v>
      </c>
      <c r="I19" s="45">
        <f>13510*(1/1000)</f>
        <v>13.51</v>
      </c>
      <c r="J19" s="45">
        <f>2230*(1/1000)</f>
        <v>2.23</v>
      </c>
      <c r="K19" s="46">
        <f>3634.2893993797*(1/1000)</f>
        <v>3.6342893993797003</v>
      </c>
      <c r="L19" s="17">
        <v>0</v>
      </c>
      <c r="M19" s="43" t="s">
        <v>39</v>
      </c>
      <c r="N19" s="43" t="s">
        <v>39</v>
      </c>
      <c r="O19" s="43" t="s">
        <v>39</v>
      </c>
      <c r="P19" s="44" t="s">
        <v>39</v>
      </c>
    </row>
    <row r="20" spans="1:22">
      <c r="A20" s="15" t="s">
        <v>16</v>
      </c>
      <c r="B20" s="30">
        <v>38</v>
      </c>
      <c r="C20" s="45">
        <f>1084.55729166667*(1/1000)</f>
        <v>1.0845572916666699</v>
      </c>
      <c r="D20" s="45">
        <f>1821*(1/1000)</f>
        <v>1.821</v>
      </c>
      <c r="E20" s="45">
        <f>480*(1/1000)</f>
        <v>0.48</v>
      </c>
      <c r="F20" s="46">
        <f>313.738985117185*(1/1000)</f>
        <v>0.31373898511718501</v>
      </c>
      <c r="G20" s="17">
        <v>35</v>
      </c>
      <c r="H20" s="45">
        <f>969.991666666667*(1/1000)</f>
        <v>0.96999166666666703</v>
      </c>
      <c r="I20" s="45">
        <f>1419*(1/1000)</f>
        <v>1.419</v>
      </c>
      <c r="J20" s="45">
        <f>235*(1/1000)</f>
        <v>0.23500000000000001</v>
      </c>
      <c r="K20" s="46">
        <f>298.071186015645*(1/1000)</f>
        <v>0.29807118601564503</v>
      </c>
      <c r="L20" s="17">
        <v>9</v>
      </c>
      <c r="M20" s="45">
        <f>1486.4*(1/1000)</f>
        <v>1.4864000000000002</v>
      </c>
      <c r="N20" s="45">
        <f>1990*(1/1000)</f>
        <v>1.99</v>
      </c>
      <c r="O20" s="45">
        <f>1006*(1/1000)</f>
        <v>1.006</v>
      </c>
      <c r="P20" s="46">
        <f>358.929465370442*(1/1000)</f>
        <v>0.35892946537044201</v>
      </c>
      <c r="V20">
        <f>1/1000</f>
        <v>1E-3</v>
      </c>
    </row>
    <row r="21" spans="1:22">
      <c r="A21" s="14" t="s">
        <v>41</v>
      </c>
      <c r="B21" s="30">
        <v>24</v>
      </c>
      <c r="C21" s="45">
        <f>945.708333333333*(1/1000)</f>
        <v>0.94570833333333337</v>
      </c>
      <c r="D21" s="45">
        <f>1085*(1/1000)</f>
        <v>1.085</v>
      </c>
      <c r="E21" s="45">
        <f>750*(1/1000)</f>
        <v>0.75</v>
      </c>
      <c r="F21" s="46">
        <f>85.8302060778271*(1/1000)</f>
        <v>8.5830206077827084E-2</v>
      </c>
      <c r="G21" s="17">
        <v>17</v>
      </c>
      <c r="H21" s="45">
        <f>889.529411764706*(1/1000)</f>
        <v>0.8895294117647059</v>
      </c>
      <c r="I21" s="45">
        <f>984*(1/1000)</f>
        <v>0.98399999999999999</v>
      </c>
      <c r="J21" s="45">
        <f>812*(1/1000)</f>
        <v>0.81200000000000006</v>
      </c>
      <c r="K21" s="46">
        <f>50.2768804310929*(1/1000)</f>
        <v>5.0276880431092859E-2</v>
      </c>
      <c r="L21" s="17">
        <v>10</v>
      </c>
      <c r="M21" s="49">
        <f>972.5*(1/1000)</f>
        <v>0.97250000000000003</v>
      </c>
      <c r="N21" s="49">
        <f>1647*(1/1000)</f>
        <v>1.647</v>
      </c>
      <c r="O21" s="49">
        <f>503*(1/1000)</f>
        <v>0.503</v>
      </c>
      <c r="P21" s="46">
        <f>315.270694976731*(1/1000)</f>
        <v>0.31527069497673127</v>
      </c>
    </row>
    <row r="22" spans="1:22">
      <c r="A22" s="14" t="s">
        <v>42</v>
      </c>
      <c r="B22" s="30">
        <v>30</v>
      </c>
      <c r="C22" s="45">
        <f>1788.66666666667*(1/1000)</f>
        <v>1.7886666666666668</v>
      </c>
      <c r="D22" s="45">
        <f>2543*(1/1000)</f>
        <v>2.5430000000000001</v>
      </c>
      <c r="E22" s="45">
        <f>930*(1/1000)</f>
        <v>0.93</v>
      </c>
      <c r="F22" s="46">
        <f>462.052044637856*(1/1000)</f>
        <v>0.46205204463785587</v>
      </c>
      <c r="G22" s="17">
        <v>20</v>
      </c>
      <c r="H22" s="45">
        <f>1730*(1/1000)</f>
        <v>1.73</v>
      </c>
      <c r="I22" s="45">
        <f>2472*(1/1000)</f>
        <v>2.472</v>
      </c>
      <c r="J22" s="45">
        <f>764*(1/1000)</f>
        <v>0.76400000000000001</v>
      </c>
      <c r="K22" s="46">
        <f>533.896993810604*(1/1000)</f>
        <v>0.53389699381060396</v>
      </c>
      <c r="L22" s="17">
        <v>5</v>
      </c>
      <c r="M22" s="49">
        <f>2205*(1/1000)</f>
        <v>2.2050000000000001</v>
      </c>
      <c r="N22" s="49">
        <f>2572*(1/1000)</f>
        <v>2.5720000000000001</v>
      </c>
      <c r="O22" s="49">
        <f>893*(1/1000)</f>
        <v>0.89300000000000002</v>
      </c>
      <c r="P22" s="46">
        <f>734.856788769077*(1/1000)</f>
        <v>0.73485678876907712</v>
      </c>
    </row>
    <row r="23" spans="1:22">
      <c r="A23" s="14" t="s">
        <v>17</v>
      </c>
      <c r="B23" s="30">
        <v>0</v>
      </c>
      <c r="C23" s="43" t="s">
        <v>43</v>
      </c>
      <c r="D23" s="43" t="s">
        <v>5</v>
      </c>
      <c r="E23" s="43" t="s">
        <v>5</v>
      </c>
      <c r="F23" s="44" t="s">
        <v>5</v>
      </c>
      <c r="G23" s="17">
        <v>0</v>
      </c>
      <c r="H23" s="43" t="s">
        <v>5</v>
      </c>
      <c r="I23" s="43" t="s">
        <v>5</v>
      </c>
      <c r="J23" s="43" t="s">
        <v>5</v>
      </c>
      <c r="K23" s="44" t="s">
        <v>5</v>
      </c>
      <c r="L23" s="17">
        <v>8</v>
      </c>
      <c r="M23" s="43">
        <f>1247.75*(1/1000)</f>
        <v>1.2477500000000001</v>
      </c>
      <c r="N23" s="43">
        <f>2766*(1/1000)</f>
        <v>2.766</v>
      </c>
      <c r="O23" s="43">
        <f>1013*(1/1000)</f>
        <v>1.0130000000000001</v>
      </c>
      <c r="P23" s="44">
        <f>721.216123245017*(1/1000)</f>
        <v>0.72121612324501705</v>
      </c>
    </row>
    <row r="24" spans="1:22">
      <c r="A24" s="14" t="s">
        <v>37</v>
      </c>
      <c r="B24" s="30">
        <v>0</v>
      </c>
      <c r="C24" s="43" t="s">
        <v>5</v>
      </c>
      <c r="D24" s="43" t="s">
        <v>5</v>
      </c>
      <c r="E24" s="43" t="s">
        <v>5</v>
      </c>
      <c r="F24" s="44" t="s">
        <v>5</v>
      </c>
      <c r="G24" s="17">
        <v>0</v>
      </c>
      <c r="H24" s="43" t="s">
        <v>5</v>
      </c>
      <c r="I24" s="43" t="s">
        <v>5</v>
      </c>
      <c r="J24" s="43" t="s">
        <v>5</v>
      </c>
      <c r="K24" s="44" t="s">
        <v>5</v>
      </c>
      <c r="L24" s="17">
        <v>6</v>
      </c>
      <c r="M24" s="43">
        <f>2638.66666666667*(1/1000)</f>
        <v>2.63866666666667</v>
      </c>
      <c r="N24" s="43">
        <f>3179*(1/1000)</f>
        <v>3.1790000000000003</v>
      </c>
      <c r="O24" s="43">
        <f>2019*(1/1000)</f>
        <v>2.0190000000000001</v>
      </c>
      <c r="P24" s="44">
        <f>543.940683040593*(1/1000)</f>
        <v>0.54394068304059295</v>
      </c>
    </row>
    <row r="25" spans="1:22">
      <c r="A25" s="14" t="s">
        <v>34</v>
      </c>
      <c r="B25" s="30">
        <v>0</v>
      </c>
      <c r="C25" s="43" t="s">
        <v>5</v>
      </c>
      <c r="D25" s="43" t="s">
        <v>5</v>
      </c>
      <c r="E25" s="43" t="s">
        <v>5</v>
      </c>
      <c r="F25" s="44" t="s">
        <v>5</v>
      </c>
      <c r="G25" s="17">
        <v>0</v>
      </c>
      <c r="H25" s="43" t="s">
        <v>5</v>
      </c>
      <c r="I25" s="43" t="s">
        <v>5</v>
      </c>
      <c r="J25" s="43" t="s">
        <v>5</v>
      </c>
      <c r="K25" s="44" t="s">
        <v>5</v>
      </c>
      <c r="L25" s="17">
        <v>4</v>
      </c>
      <c r="M25" s="43">
        <f>2921*(1/1000)</f>
        <v>2.9210000000000003</v>
      </c>
      <c r="N25" s="43">
        <f>3067*(1/1000)</f>
        <v>3.0670000000000002</v>
      </c>
      <c r="O25" s="43">
        <f>2630*(1/1000)</f>
        <v>2.63</v>
      </c>
      <c r="P25" s="44">
        <f>199.691428625934*(1/1000)</f>
        <v>0.199691428625934</v>
      </c>
    </row>
    <row r="26" spans="1:22">
      <c r="A26" s="14" t="s">
        <v>36</v>
      </c>
      <c r="B26" s="30">
        <v>0</v>
      </c>
      <c r="C26" s="43" t="s">
        <v>5</v>
      </c>
      <c r="D26" s="43" t="s">
        <v>5</v>
      </c>
      <c r="E26" s="43" t="s">
        <v>5</v>
      </c>
      <c r="F26" s="44" t="s">
        <v>5</v>
      </c>
      <c r="G26" s="17">
        <v>0</v>
      </c>
      <c r="H26" s="43" t="s">
        <v>5</v>
      </c>
      <c r="I26" s="43" t="s">
        <v>5</v>
      </c>
      <c r="J26" s="43" t="s">
        <v>5</v>
      </c>
      <c r="K26" s="44" t="s">
        <v>5</v>
      </c>
      <c r="L26" s="17">
        <v>1</v>
      </c>
      <c r="M26" s="45">
        <f>1621*(1/1000)</f>
        <v>1.621</v>
      </c>
      <c r="N26" s="45">
        <f>1621*(1/1000)</f>
        <v>1.621</v>
      </c>
      <c r="O26" s="45">
        <f>1621*(1/1000)</f>
        <v>1.621</v>
      </c>
      <c r="P26" s="44" t="s">
        <v>27</v>
      </c>
    </row>
    <row r="27" spans="1:22">
      <c r="A27" s="14" t="s">
        <v>35</v>
      </c>
      <c r="B27" s="30">
        <v>0</v>
      </c>
      <c r="C27" s="43" t="s">
        <v>5</v>
      </c>
      <c r="D27" s="43" t="s">
        <v>5</v>
      </c>
      <c r="E27" s="43" t="s">
        <v>5</v>
      </c>
      <c r="F27" s="44" t="s">
        <v>5</v>
      </c>
      <c r="G27" s="17">
        <v>0</v>
      </c>
      <c r="H27" s="43" t="s">
        <v>5</v>
      </c>
      <c r="I27" s="43" t="s">
        <v>5</v>
      </c>
      <c r="J27" s="43" t="s">
        <v>5</v>
      </c>
      <c r="K27" s="44" t="s">
        <v>5</v>
      </c>
      <c r="L27" s="17">
        <v>3</v>
      </c>
      <c r="M27" s="45">
        <f>2007*(1/1000)</f>
        <v>2.0070000000000001</v>
      </c>
      <c r="N27" s="45">
        <f>2400*(1/1000)</f>
        <v>2.4</v>
      </c>
      <c r="O27" s="45">
        <f>1391*(1/1000)</f>
        <v>1.391</v>
      </c>
      <c r="P27" s="46">
        <f>540.200888559062*(1/1000)</f>
        <v>0.54020088855906201</v>
      </c>
    </row>
    <row r="28" spans="1:22">
      <c r="A28" s="19" t="s">
        <v>19</v>
      </c>
      <c r="B28" s="32">
        <v>38</v>
      </c>
      <c r="C28" s="58">
        <f>1023.72916666667*(1/1000)</f>
        <v>1.0237291666666701</v>
      </c>
      <c r="D28" s="58">
        <f>1390*(1/1000)</f>
        <v>1.3900000000000001</v>
      </c>
      <c r="E28" s="58">
        <f>472*(1/1000)</f>
        <v>0.47200000000000003</v>
      </c>
      <c r="F28" s="59">
        <f>221.987397602134*(1/1000)</f>
        <v>0.22198739760213401</v>
      </c>
      <c r="G28" s="13">
        <v>21</v>
      </c>
      <c r="H28" s="47" t="s">
        <v>39</v>
      </c>
      <c r="I28" s="47" t="s">
        <v>39</v>
      </c>
      <c r="J28" s="47" t="s">
        <v>39</v>
      </c>
      <c r="K28" s="48" t="s">
        <v>39</v>
      </c>
      <c r="L28" s="13">
        <v>0</v>
      </c>
      <c r="M28" s="47" t="s">
        <v>39</v>
      </c>
      <c r="N28" s="47" t="s">
        <v>39</v>
      </c>
      <c r="O28" s="47" t="s">
        <v>39</v>
      </c>
      <c r="P28" s="48" t="s">
        <v>39</v>
      </c>
    </row>
    <row r="31" spans="1:22">
      <c r="A31" s="20"/>
      <c r="B31" s="70">
        <v>2005</v>
      </c>
      <c r="C31" s="70"/>
      <c r="D31" s="70"/>
      <c r="E31" s="11"/>
      <c r="F31" s="70">
        <v>2006</v>
      </c>
      <c r="G31" s="70"/>
      <c r="H31" s="70"/>
      <c r="I31" s="11"/>
      <c r="J31" s="70">
        <v>2008</v>
      </c>
      <c r="K31" s="70"/>
      <c r="L31" s="70"/>
      <c r="M31" s="11"/>
      <c r="N31" s="50" t="s">
        <v>29</v>
      </c>
      <c r="O31" s="51" t="s">
        <v>31</v>
      </c>
      <c r="P31" s="52"/>
      <c r="Q31" s="52"/>
      <c r="R31" s="52"/>
      <c r="S31" s="52"/>
      <c r="T31" s="53"/>
    </row>
    <row r="32" spans="1:22">
      <c r="A32" s="20" t="s">
        <v>0</v>
      </c>
      <c r="B32" s="35" t="s">
        <v>20</v>
      </c>
      <c r="C32" s="35" t="s">
        <v>21</v>
      </c>
      <c r="D32" s="35" t="s">
        <v>22</v>
      </c>
      <c r="E32" s="11"/>
      <c r="F32" s="35" t="s">
        <v>20</v>
      </c>
      <c r="G32" s="35" t="s">
        <v>21</v>
      </c>
      <c r="H32" s="35" t="s">
        <v>22</v>
      </c>
      <c r="I32" s="11"/>
      <c r="J32" s="35" t="s">
        <v>20</v>
      </c>
      <c r="K32" s="35" t="s">
        <v>21</v>
      </c>
      <c r="L32" s="35" t="s">
        <v>22</v>
      </c>
      <c r="M32" s="11"/>
      <c r="O32" s="60" t="s">
        <v>45</v>
      </c>
      <c r="P32" s="61"/>
      <c r="Q32" s="61"/>
      <c r="R32" s="61"/>
      <c r="S32" s="61"/>
      <c r="T32" s="62"/>
    </row>
    <row r="33" spans="1:20">
      <c r="A33" s="20" t="s">
        <v>6</v>
      </c>
      <c r="B33" s="22">
        <v>38495</v>
      </c>
      <c r="C33" s="23">
        <v>38651</v>
      </c>
      <c r="D33" s="41">
        <v>1</v>
      </c>
      <c r="E33" s="11"/>
      <c r="F33" s="36" t="s">
        <v>39</v>
      </c>
      <c r="G33" s="26" t="s">
        <v>39</v>
      </c>
      <c r="H33" s="24">
        <v>1</v>
      </c>
      <c r="I33" s="11"/>
      <c r="J33" s="36" t="s">
        <v>39</v>
      </c>
      <c r="K33" s="26" t="s">
        <v>39</v>
      </c>
      <c r="L33" s="24">
        <v>0</v>
      </c>
      <c r="M33" s="11"/>
      <c r="O33" s="54" t="s">
        <v>30</v>
      </c>
      <c r="P33" s="55"/>
      <c r="Q33" s="55"/>
      <c r="R33" s="55"/>
      <c r="S33" s="55"/>
      <c r="T33" s="56"/>
    </row>
    <row r="34" spans="1:20">
      <c r="A34" s="20" t="s">
        <v>7</v>
      </c>
      <c r="B34" s="25">
        <v>38509</v>
      </c>
      <c r="C34" s="26">
        <v>38670</v>
      </c>
      <c r="D34" s="8">
        <v>1</v>
      </c>
      <c r="E34" s="11"/>
      <c r="F34" s="36" t="s">
        <v>39</v>
      </c>
      <c r="G34" s="26" t="s">
        <v>39</v>
      </c>
      <c r="H34" s="8">
        <v>0</v>
      </c>
      <c r="I34" s="11"/>
      <c r="J34" s="36" t="s">
        <v>39</v>
      </c>
      <c r="K34" s="26" t="s">
        <v>39</v>
      </c>
      <c r="L34" s="28">
        <v>0</v>
      </c>
      <c r="M34" s="11"/>
    </row>
    <row r="35" spans="1:20">
      <c r="A35" s="20" t="s">
        <v>8</v>
      </c>
      <c r="B35" s="25">
        <v>38525</v>
      </c>
      <c r="C35" s="26">
        <v>38651</v>
      </c>
      <c r="D35" s="8">
        <v>2</v>
      </c>
      <c r="E35" s="11"/>
      <c r="F35" s="36" t="s">
        <v>39</v>
      </c>
      <c r="G35" s="26" t="s">
        <v>39</v>
      </c>
      <c r="H35" s="8">
        <v>2</v>
      </c>
      <c r="I35" s="11"/>
      <c r="J35" s="36" t="s">
        <v>39</v>
      </c>
      <c r="K35" s="26" t="s">
        <v>39</v>
      </c>
      <c r="L35" s="8">
        <v>0</v>
      </c>
      <c r="M35" s="7"/>
    </row>
    <row r="36" spans="1:20">
      <c r="A36" s="20" t="s">
        <v>9</v>
      </c>
      <c r="B36" s="36">
        <v>38513</v>
      </c>
      <c r="C36" s="26">
        <v>38651</v>
      </c>
      <c r="D36" s="8">
        <v>6</v>
      </c>
      <c r="E36" s="11"/>
      <c r="F36" s="36">
        <v>38852</v>
      </c>
      <c r="G36" s="29">
        <v>38933</v>
      </c>
      <c r="H36" s="8">
        <v>2</v>
      </c>
      <c r="I36" s="11"/>
      <c r="J36" s="36" t="s">
        <v>39</v>
      </c>
      <c r="K36" s="26" t="s">
        <v>39</v>
      </c>
      <c r="L36" s="8">
        <v>0</v>
      </c>
      <c r="M36" s="11"/>
    </row>
    <row r="37" spans="1:20">
      <c r="A37" s="20" t="s">
        <v>32</v>
      </c>
      <c r="B37" s="36" t="s">
        <v>39</v>
      </c>
      <c r="C37" s="26" t="s">
        <v>39</v>
      </c>
      <c r="D37" s="8">
        <v>0</v>
      </c>
      <c r="E37" s="11"/>
      <c r="F37" s="36" t="s">
        <v>39</v>
      </c>
      <c r="G37" s="26" t="s">
        <v>39</v>
      </c>
      <c r="H37" s="8">
        <v>0</v>
      </c>
      <c r="I37" s="11"/>
      <c r="J37" s="25">
        <v>39605</v>
      </c>
      <c r="K37" s="26">
        <v>39731</v>
      </c>
      <c r="L37" s="8">
        <v>1</v>
      </c>
      <c r="M37" s="11"/>
    </row>
    <row r="38" spans="1:20">
      <c r="A38" s="20" t="s">
        <v>33</v>
      </c>
      <c r="B38" s="36" t="s">
        <v>39</v>
      </c>
      <c r="C38" s="26" t="s">
        <v>39</v>
      </c>
      <c r="D38" s="8">
        <v>0</v>
      </c>
      <c r="E38" s="11"/>
      <c r="F38" s="36" t="s">
        <v>39</v>
      </c>
      <c r="G38" s="26" t="s">
        <v>39</v>
      </c>
      <c r="H38" s="8">
        <v>0</v>
      </c>
      <c r="I38" s="11"/>
      <c r="J38" s="25">
        <v>39605</v>
      </c>
      <c r="K38" s="26">
        <v>39731</v>
      </c>
      <c r="L38" s="8">
        <v>1</v>
      </c>
      <c r="M38" s="11"/>
    </row>
    <row r="39" spans="1:20">
      <c r="A39" s="20" t="s">
        <v>10</v>
      </c>
      <c r="B39" s="25">
        <v>38495</v>
      </c>
      <c r="C39" s="26">
        <v>38651</v>
      </c>
      <c r="D39" s="31">
        <v>2</v>
      </c>
      <c r="E39" s="12"/>
      <c r="F39" s="25">
        <v>38869</v>
      </c>
      <c r="G39" s="27">
        <v>38933</v>
      </c>
      <c r="H39" s="8">
        <v>2</v>
      </c>
      <c r="I39" s="11"/>
      <c r="J39" s="25">
        <v>39605</v>
      </c>
      <c r="K39" s="27">
        <v>39745</v>
      </c>
      <c r="L39" s="8">
        <v>2</v>
      </c>
      <c r="M39" s="11"/>
    </row>
    <row r="40" spans="1:20">
      <c r="A40" s="20" t="s">
        <v>11</v>
      </c>
      <c r="B40" s="25">
        <v>38506</v>
      </c>
      <c r="C40" s="27">
        <v>38651</v>
      </c>
      <c r="D40" s="8">
        <v>3</v>
      </c>
      <c r="E40" s="11"/>
      <c r="F40" s="36">
        <v>38852</v>
      </c>
      <c r="G40" s="29">
        <v>38933</v>
      </c>
      <c r="H40" s="8">
        <v>3</v>
      </c>
      <c r="I40" s="11"/>
      <c r="J40" s="36" t="s">
        <v>39</v>
      </c>
      <c r="K40" s="26" t="s">
        <v>39</v>
      </c>
      <c r="L40" s="8">
        <v>0</v>
      </c>
      <c r="M40" s="11"/>
    </row>
    <row r="41" spans="1:20">
      <c r="A41" s="20" t="s">
        <v>12</v>
      </c>
      <c r="B41" s="25">
        <v>38506</v>
      </c>
      <c r="C41" s="27">
        <v>38651</v>
      </c>
      <c r="D41" s="8">
        <v>3</v>
      </c>
      <c r="E41" s="11"/>
      <c r="F41" s="36">
        <v>38852</v>
      </c>
      <c r="G41" s="29">
        <v>38933</v>
      </c>
      <c r="H41" s="8">
        <v>3</v>
      </c>
      <c r="I41" s="11"/>
      <c r="J41" s="36" t="s">
        <v>39</v>
      </c>
      <c r="K41" s="26" t="s">
        <v>39</v>
      </c>
      <c r="L41" s="8">
        <v>0</v>
      </c>
      <c r="M41" s="11"/>
    </row>
    <row r="42" spans="1:20">
      <c r="A42" s="20" t="s">
        <v>13</v>
      </c>
      <c r="B42" s="25">
        <v>38505</v>
      </c>
      <c r="C42" s="26">
        <v>38651</v>
      </c>
      <c r="D42" s="8">
        <v>4</v>
      </c>
      <c r="E42" s="11"/>
      <c r="F42" s="36">
        <v>38852</v>
      </c>
      <c r="G42" s="29">
        <v>38933</v>
      </c>
      <c r="H42" s="8">
        <v>4</v>
      </c>
      <c r="I42" s="11"/>
      <c r="J42" s="25">
        <v>39700</v>
      </c>
      <c r="K42" s="27">
        <v>39729</v>
      </c>
      <c r="L42" s="8">
        <v>4</v>
      </c>
      <c r="M42" s="11"/>
    </row>
    <row r="43" spans="1:20">
      <c r="A43" s="20" t="s">
        <v>14</v>
      </c>
      <c r="B43" s="25">
        <v>38506</v>
      </c>
      <c r="C43" s="27">
        <v>38651</v>
      </c>
      <c r="D43" s="8">
        <v>13</v>
      </c>
      <c r="E43" s="11"/>
      <c r="F43" s="36">
        <v>38852</v>
      </c>
      <c r="G43" s="29">
        <v>38933</v>
      </c>
      <c r="H43" s="8">
        <v>13</v>
      </c>
      <c r="I43" s="11"/>
      <c r="J43" s="36" t="s">
        <v>39</v>
      </c>
      <c r="K43" s="26" t="s">
        <v>39</v>
      </c>
      <c r="L43" s="8">
        <v>0</v>
      </c>
      <c r="M43" s="11"/>
    </row>
    <row r="44" spans="1:20">
      <c r="A44" s="20" t="s">
        <v>15</v>
      </c>
      <c r="B44" s="25">
        <v>38506</v>
      </c>
      <c r="C44" s="26">
        <v>38651</v>
      </c>
      <c r="D44" s="8">
        <v>6</v>
      </c>
      <c r="E44" s="11"/>
      <c r="F44" s="36">
        <v>38852</v>
      </c>
      <c r="G44" s="29">
        <v>38934</v>
      </c>
      <c r="H44" s="8">
        <v>6</v>
      </c>
      <c r="I44" s="11"/>
      <c r="J44" s="36" t="s">
        <v>39</v>
      </c>
      <c r="K44" s="26" t="s">
        <v>39</v>
      </c>
      <c r="L44" s="8">
        <v>0</v>
      </c>
      <c r="M44" s="11"/>
    </row>
    <row r="45" spans="1:20">
      <c r="A45" s="20" t="s">
        <v>16</v>
      </c>
      <c r="B45" s="25">
        <v>38505</v>
      </c>
      <c r="C45" s="27">
        <v>38651</v>
      </c>
      <c r="D45" s="8">
        <v>7</v>
      </c>
      <c r="E45" s="11"/>
      <c r="F45" s="25">
        <v>38869</v>
      </c>
      <c r="G45" s="27">
        <v>38933</v>
      </c>
      <c r="H45" s="8">
        <v>7</v>
      </c>
      <c r="I45" s="11"/>
      <c r="J45" s="25">
        <v>39609</v>
      </c>
      <c r="K45" s="27">
        <v>39729</v>
      </c>
      <c r="L45" s="8">
        <v>7</v>
      </c>
      <c r="M45" s="11"/>
    </row>
    <row r="46" spans="1:20">
      <c r="A46" t="s">
        <v>41</v>
      </c>
      <c r="B46" s="25">
        <v>38506</v>
      </c>
      <c r="C46" s="27">
        <v>38651</v>
      </c>
      <c r="D46" s="8">
        <v>2</v>
      </c>
      <c r="E46" s="11"/>
      <c r="F46" s="36">
        <v>38852</v>
      </c>
      <c r="G46" s="38">
        <v>38926</v>
      </c>
      <c r="H46" s="8">
        <v>2</v>
      </c>
      <c r="I46" s="9"/>
      <c r="J46" s="25">
        <v>39609</v>
      </c>
      <c r="K46" s="27">
        <v>39743</v>
      </c>
      <c r="L46" s="8">
        <v>2</v>
      </c>
      <c r="M46" s="11"/>
    </row>
    <row r="47" spans="1:20">
      <c r="A47" t="s">
        <v>42</v>
      </c>
      <c r="B47" s="25">
        <v>38506</v>
      </c>
      <c r="C47" s="27">
        <v>38651</v>
      </c>
      <c r="D47" s="8">
        <v>2</v>
      </c>
      <c r="E47" s="11"/>
      <c r="F47" s="36">
        <v>38852</v>
      </c>
      <c r="G47" s="38">
        <v>38926</v>
      </c>
      <c r="H47" s="8">
        <v>2</v>
      </c>
      <c r="I47" s="9"/>
      <c r="J47" s="25">
        <v>39609</v>
      </c>
      <c r="K47" s="27">
        <v>39743</v>
      </c>
      <c r="L47" s="8">
        <v>2</v>
      </c>
      <c r="M47" s="11"/>
    </row>
    <row r="48" spans="1:20">
      <c r="A48" s="20" t="s">
        <v>17</v>
      </c>
      <c r="B48" s="25" t="s">
        <v>5</v>
      </c>
      <c r="C48" s="26" t="s">
        <v>5</v>
      </c>
      <c r="D48" s="31">
        <v>0</v>
      </c>
      <c r="E48" s="11"/>
      <c r="F48" s="25" t="s">
        <v>5</v>
      </c>
      <c r="G48" s="27" t="s">
        <v>5</v>
      </c>
      <c r="H48" s="8">
        <v>0</v>
      </c>
      <c r="I48" s="11"/>
      <c r="J48" s="39">
        <v>39673</v>
      </c>
      <c r="K48" s="40">
        <v>39743</v>
      </c>
      <c r="L48" s="8">
        <v>4</v>
      </c>
      <c r="M48" s="11"/>
    </row>
    <row r="49" spans="1:13">
      <c r="A49" t="s">
        <v>37</v>
      </c>
      <c r="B49" s="30" t="s">
        <v>5</v>
      </c>
      <c r="C49" s="17" t="s">
        <v>5</v>
      </c>
      <c r="D49" s="31">
        <v>0</v>
      </c>
      <c r="E49" s="11"/>
      <c r="F49" s="30" t="s">
        <v>5</v>
      </c>
      <c r="G49" s="17" t="s">
        <v>5</v>
      </c>
      <c r="H49" s="31">
        <v>0</v>
      </c>
      <c r="I49" s="11"/>
      <c r="J49" s="39">
        <v>39701</v>
      </c>
      <c r="K49" s="40">
        <v>39745</v>
      </c>
      <c r="L49" s="31">
        <v>4</v>
      </c>
      <c r="M49" s="11"/>
    </row>
    <row r="50" spans="1:13">
      <c r="A50" t="s">
        <v>34</v>
      </c>
      <c r="B50" s="30" t="s">
        <v>5</v>
      </c>
      <c r="C50" s="17" t="s">
        <v>5</v>
      </c>
      <c r="D50" s="31">
        <v>0</v>
      </c>
      <c r="E50" s="11"/>
      <c r="F50" s="30" t="s">
        <v>5</v>
      </c>
      <c r="G50" s="17" t="s">
        <v>5</v>
      </c>
      <c r="H50" s="31">
        <v>0</v>
      </c>
      <c r="I50" s="11"/>
      <c r="J50" s="39">
        <v>39701</v>
      </c>
      <c r="K50" s="40">
        <v>39745</v>
      </c>
      <c r="L50" s="31">
        <v>1</v>
      </c>
      <c r="M50" s="11"/>
    </row>
    <row r="51" spans="1:13">
      <c r="A51" t="s">
        <v>36</v>
      </c>
      <c r="B51" s="30" t="s">
        <v>5</v>
      </c>
      <c r="C51" s="17" t="s">
        <v>5</v>
      </c>
      <c r="D51" s="31">
        <v>0</v>
      </c>
      <c r="E51" s="11"/>
      <c r="F51" s="25" t="s">
        <v>5</v>
      </c>
      <c r="G51" s="27" t="s">
        <v>5</v>
      </c>
      <c r="H51" s="8">
        <v>0</v>
      </c>
      <c r="I51" s="11"/>
      <c r="J51" s="25">
        <v>39671</v>
      </c>
      <c r="K51" s="27">
        <v>39671</v>
      </c>
      <c r="L51" s="8">
        <v>1</v>
      </c>
      <c r="M51" s="11"/>
    </row>
    <row r="52" spans="1:13">
      <c r="A52" t="s">
        <v>35</v>
      </c>
      <c r="B52" s="30" t="s">
        <v>5</v>
      </c>
      <c r="C52" s="17" t="s">
        <v>5</v>
      </c>
      <c r="D52" s="31">
        <v>0</v>
      </c>
      <c r="E52" s="11"/>
      <c r="F52" s="25" t="s">
        <v>5</v>
      </c>
      <c r="G52" s="27" t="s">
        <v>5</v>
      </c>
      <c r="H52" s="8">
        <v>0</v>
      </c>
      <c r="I52" s="11"/>
      <c r="J52" s="25">
        <v>39671</v>
      </c>
      <c r="K52" s="27">
        <v>39671</v>
      </c>
      <c r="L52" s="8">
        <v>3</v>
      </c>
    </row>
    <row r="53" spans="1:13">
      <c r="A53" t="s">
        <v>19</v>
      </c>
      <c r="B53" s="63">
        <v>38506</v>
      </c>
      <c r="C53" s="64">
        <v>38651</v>
      </c>
      <c r="D53" s="33">
        <v>4</v>
      </c>
      <c r="F53" s="65" t="s">
        <v>39</v>
      </c>
      <c r="G53" s="66" t="s">
        <v>39</v>
      </c>
      <c r="H53" s="33">
        <v>4</v>
      </c>
      <c r="J53" s="65" t="s">
        <v>39</v>
      </c>
      <c r="K53" s="66" t="s">
        <v>39</v>
      </c>
      <c r="L53" s="33">
        <v>0</v>
      </c>
      <c r="M53" s="12"/>
    </row>
  </sheetData>
  <mergeCells count="7">
    <mergeCell ref="A3:C3"/>
    <mergeCell ref="B31:D31"/>
    <mergeCell ref="F31:H31"/>
    <mergeCell ref="J31:L31"/>
    <mergeCell ref="L6:P6"/>
    <mergeCell ref="G6:K6"/>
    <mergeCell ref="B6:F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Depth</vt:lpstr>
      <vt:lpstr>EC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Medhurst, Ryan E</dc:creator>
  <cp:lastModifiedBy>Medhurst, Ryan E</cp:lastModifiedBy>
  <dcterms:created xsi:type="dcterms:W3CDTF">2010-05-25T16:26:46Z</dcterms:created>
  <dcterms:modified xsi:type="dcterms:W3CDTF">2010-06-23T14:14:35Z</dcterms:modified>
</cp:coreProperties>
</file>